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09DD6075-6BB4-4503-9A89-7D3F5E799B7E}" xr6:coauthVersionLast="46" xr6:coauthVersionMax="46" xr10:uidLastSave="{00000000-0000-0000-0000-000000000000}"/>
  <bookViews>
    <workbookView xWindow="-12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Print'!$A$1:$H$35</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c r="E250" i="28"/>
  <c r="E11" i="1" l="1"/>
  <c r="E9" i="1" s="1"/>
  <c r="E12" i="1" l="1"/>
  <c r="E255" i="28" l="1"/>
  <c r="L255" i="28" s="1"/>
  <c r="E260" i="28"/>
  <c r="E259" i="28"/>
  <c r="E258" i="28"/>
  <c r="E253" i="28"/>
  <c r="E252" i="28"/>
  <c r="E249" i="28"/>
  <c r="E248" i="28"/>
  <c r="E247" i="28"/>
  <c r="E246" i="28"/>
  <c r="T30" i="29" l="1"/>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22" i="29"/>
  <c r="U22" i="29"/>
  <c r="T23" i="29"/>
  <c r="U23" i="29"/>
  <c r="T24" i="29"/>
  <c r="U24" i="29"/>
  <c r="T25" i="29"/>
  <c r="U25" i="29"/>
  <c r="T26" i="29"/>
  <c r="U26" i="29"/>
  <c r="T27" i="29"/>
  <c r="U27" i="29"/>
  <c r="T28" i="29"/>
  <c r="U28" i="29"/>
  <c r="T52" i="29"/>
  <c r="U52" i="29"/>
  <c r="T53" i="29"/>
  <c r="U53" i="29"/>
  <c r="T54" i="29"/>
  <c r="U54" i="29"/>
  <c r="T55" i="29"/>
  <c r="U55" i="29"/>
  <c r="T29" i="29"/>
  <c r="U29" i="29"/>
  <c r="T10" i="29"/>
  <c r="U10" i="29"/>
  <c r="T11" i="29"/>
  <c r="U11" i="29"/>
  <c r="T12" i="29"/>
  <c r="U12" i="29"/>
  <c r="T13" i="29"/>
  <c r="U13" i="29"/>
  <c r="T14" i="29"/>
  <c r="U14" i="29"/>
  <c r="T15" i="29"/>
  <c r="U15" i="29"/>
  <c r="T16" i="29"/>
  <c r="U16" i="29"/>
  <c r="T17" i="29"/>
  <c r="U17" i="29"/>
  <c r="T18" i="29"/>
  <c r="U18" i="29"/>
  <c r="T47" i="29"/>
  <c r="U47" i="29"/>
  <c r="T19" i="29"/>
  <c r="U19" i="29"/>
  <c r="T20" i="29"/>
  <c r="U20" i="29"/>
  <c r="T21" i="29"/>
  <c r="U21" i="29"/>
  <c r="T49" i="29"/>
  <c r="U49" i="29"/>
  <c r="T50" i="29"/>
  <c r="U50" i="29"/>
  <c r="T51" i="29"/>
  <c r="U51" i="29"/>
  <c r="T9" i="29"/>
  <c r="U9" i="29"/>
  <c r="T3" i="29"/>
  <c r="U3" i="29"/>
  <c r="T4" i="29"/>
  <c r="U4" i="29"/>
  <c r="T5" i="29"/>
  <c r="U5" i="29"/>
  <c r="T6" i="29"/>
  <c r="U6" i="29"/>
  <c r="T7" i="29"/>
  <c r="U7" i="29"/>
  <c r="T8" i="29"/>
  <c r="U8"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52" i="29"/>
  <c r="P52" i="29"/>
  <c r="O53" i="29"/>
  <c r="P53" i="29"/>
  <c r="O54" i="29"/>
  <c r="P54" i="29"/>
  <c r="O55" i="29"/>
  <c r="P55" i="29"/>
  <c r="O29" i="29"/>
  <c r="P29" i="29"/>
  <c r="O24" i="29"/>
  <c r="P24" i="29"/>
  <c r="O25" i="29"/>
  <c r="P25" i="29"/>
  <c r="O26" i="29"/>
  <c r="P26" i="29"/>
  <c r="O27" i="29"/>
  <c r="P27" i="29"/>
  <c r="O28" i="29"/>
  <c r="P28" i="29"/>
  <c r="O22" i="29"/>
  <c r="P22" i="29"/>
  <c r="O23" i="29"/>
  <c r="P23" i="29"/>
  <c r="O47" i="29"/>
  <c r="P47" i="29"/>
  <c r="O19" i="29"/>
  <c r="P19" i="29"/>
  <c r="O20" i="29"/>
  <c r="P20" i="29"/>
  <c r="O21" i="29"/>
  <c r="P21" i="29"/>
  <c r="O3" i="29"/>
  <c r="P3" i="29"/>
  <c r="O4" i="29"/>
  <c r="P4" i="29"/>
  <c r="O5" i="29"/>
  <c r="P5" i="29"/>
  <c r="O6" i="29"/>
  <c r="P6" i="29"/>
  <c r="O7" i="29"/>
  <c r="P7" i="29"/>
  <c r="O8" i="29"/>
  <c r="P8" i="29"/>
  <c r="O49" i="29"/>
  <c r="P49" i="29"/>
  <c r="O50" i="29"/>
  <c r="P50" i="29"/>
  <c r="O51" i="29"/>
  <c r="P51" i="29"/>
  <c r="O9" i="29"/>
  <c r="P9" i="29"/>
  <c r="O10" i="29"/>
  <c r="P10" i="29"/>
  <c r="O11" i="29"/>
  <c r="P11" i="29"/>
  <c r="O12" i="29"/>
  <c r="P12" i="29"/>
  <c r="O13" i="29"/>
  <c r="P13" i="29"/>
  <c r="O14" i="29"/>
  <c r="P14" i="29"/>
  <c r="O15" i="29"/>
  <c r="P15" i="29"/>
  <c r="O16" i="29"/>
  <c r="P16" i="29"/>
  <c r="O17" i="29"/>
  <c r="P17" i="29"/>
  <c r="O18" i="29"/>
  <c r="P18" i="29"/>
  <c r="T2" i="29"/>
  <c r="U2" i="29"/>
  <c r="P2" i="29"/>
  <c r="O2" i="29"/>
  <c r="E287" i="28" l="1"/>
  <c r="L259" i="28"/>
  <c r="C259" i="28"/>
  <c r="A259" i="28"/>
  <c r="H76" i="53"/>
  <c r="E97" i="1" l="1"/>
  <c r="E96" i="1"/>
  <c r="E95" i="1"/>
  <c r="E94" i="1"/>
  <c r="E93" i="1"/>
  <c r="E92" i="1"/>
  <c r="E91" i="1"/>
  <c r="E90" i="1"/>
  <c r="E100" i="1"/>
  <c r="E291" i="42" l="1"/>
  <c r="F291" i="42"/>
  <c r="G291" i="42"/>
  <c r="H291" i="42"/>
  <c r="I291" i="42"/>
  <c r="J291" i="42"/>
  <c r="K291" i="42"/>
  <c r="L291" i="42"/>
  <c r="M291" i="42"/>
  <c r="N291" i="42"/>
  <c r="O291" i="42"/>
  <c r="P291" i="42"/>
  <c r="Q291" i="42"/>
  <c r="R291" i="42"/>
  <c r="S291" i="42"/>
  <c r="T291" i="42"/>
  <c r="U291" i="42"/>
  <c r="V291" i="42"/>
  <c r="W291" i="42"/>
  <c r="X291" i="42"/>
  <c r="Y291" i="42"/>
  <c r="Z291" i="42"/>
  <c r="AA291" i="42"/>
  <c r="AB291" i="42"/>
  <c r="AC291" i="42"/>
  <c r="AD291" i="42"/>
  <c r="AE291" i="42"/>
  <c r="AF291" i="42"/>
  <c r="AG291" i="42"/>
  <c r="AH291" i="42"/>
  <c r="AI291" i="42"/>
  <c r="AJ291" i="42"/>
  <c r="AK291" i="42"/>
  <c r="AL291" i="42"/>
  <c r="AM291" i="42"/>
  <c r="AN291" i="42"/>
  <c r="AO291" i="42"/>
  <c r="AP291" i="42"/>
  <c r="AQ291" i="42"/>
  <c r="AR291" i="42"/>
  <c r="AS291" i="42"/>
  <c r="AT291" i="42"/>
  <c r="D291" i="42"/>
  <c r="E96" i="53" l="1"/>
  <c r="A327" i="1"/>
  <c r="K10" i="80" l="1"/>
  <c r="E10" i="80"/>
  <c r="B4"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0" i="1"/>
  <c r="E8" i="1"/>
  <c r="E7" i="1"/>
  <c r="H38" i="1" l="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14" i="80" l="1"/>
  <c r="M23" i="73"/>
  <c r="D23" i="73" s="1"/>
  <c r="C281" i="28"/>
  <c r="F14" i="80" l="1"/>
  <c r="D14" i="80"/>
  <c r="G87" i="53"/>
  <c r="L266" i="28" l="1"/>
  <c r="L267" i="28"/>
  <c r="L268" i="28"/>
  <c r="E244" i="28"/>
  <c r="L252" i="28"/>
  <c r="C252" i="28"/>
  <c r="A252" i="28"/>
  <c r="W252" i="28" s="1"/>
  <c r="G273" i="1" l="1"/>
  <c r="E290" i="28"/>
  <c r="E278" i="28" l="1"/>
  <c r="E281" i="28" l="1"/>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57" i="53"/>
  <c r="H78" i="53"/>
  <c r="G180" i="1" l="1"/>
  <c r="D17" i="73"/>
  <c r="C17" i="73"/>
  <c r="B17" i="73"/>
  <c r="B11" i="73"/>
  <c r="C11" i="73"/>
  <c r="D11" i="73"/>
  <c r="E243" i="28" l="1"/>
  <c r="L243" i="28" s="1"/>
  <c r="B20" i="71" s="1"/>
  <c r="C243" i="28"/>
  <c r="A243" i="28"/>
  <c r="B2" i="71"/>
  <c r="B8" i="71" l="1"/>
  <c r="B12" i="71"/>
  <c r="W243" i="28"/>
  <c r="L253" i="28"/>
  <c r="C253" i="28"/>
  <c r="A253" i="28"/>
  <c r="E257" i="28"/>
  <c r="D31" i="80" l="1"/>
  <c r="F31" i="80" s="1"/>
  <c r="W253" i="28"/>
  <c r="G222" i="1"/>
  <c r="E256" i="28"/>
  <c r="C258" i="28"/>
  <c r="C257" i="28"/>
  <c r="C256" i="28"/>
  <c r="C255" i="28"/>
  <c r="C260"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35" i="80" s="1"/>
  <c r="L246" i="28"/>
  <c r="E254" i="28"/>
  <c r="C247" i="28"/>
  <c r="C246" i="28"/>
  <c r="A258" i="28"/>
  <c r="A257" i="28"/>
  <c r="A256" i="28"/>
  <c r="A255" i="28"/>
  <c r="A260" i="28"/>
  <c r="A254" i="28"/>
  <c r="A251" i="28"/>
  <c r="A250" i="28"/>
  <c r="A249" i="28"/>
  <c r="A248" i="28"/>
  <c r="A247" i="28"/>
  <c r="A246" i="28"/>
  <c r="D21" i="80" l="1"/>
  <c r="F21" i="80" s="1"/>
  <c r="D33" i="80"/>
  <c r="F33" i="80" s="1"/>
  <c r="D19" i="80"/>
  <c r="F19" i="80" s="1"/>
  <c r="W246" i="28"/>
  <c r="W260" i="28"/>
  <c r="W192" i="28"/>
  <c r="W247" i="28"/>
  <c r="W255" i="28"/>
  <c r="W191" i="28"/>
  <c r="W248" i="28"/>
  <c r="W249" i="28"/>
  <c r="W257" i="28"/>
  <c r="W254" i="28"/>
  <c r="W250" i="28"/>
  <c r="W258" i="28"/>
  <c r="W161" i="28"/>
  <c r="W244" i="28"/>
  <c r="W193" i="28"/>
  <c r="W256" i="28"/>
  <c r="W251" i="28"/>
  <c r="L254" i="28"/>
  <c r="L258" i="28"/>
  <c r="D17" i="80" s="1"/>
  <c r="F17" i="80" s="1"/>
  <c r="L260" i="28"/>
  <c r="L248" i="28"/>
  <c r="M35" i="80" s="1"/>
  <c r="L249" i="28"/>
  <c r="N35" i="80" s="1"/>
  <c r="L250" i="28"/>
  <c r="L256" i="28"/>
  <c r="L251" i="28"/>
  <c r="L257" i="28"/>
  <c r="D29" i="80" s="1"/>
  <c r="D35" i="80" l="1"/>
  <c r="F29" i="80"/>
  <c r="D23" i="80"/>
  <c r="F23" i="80" s="1"/>
  <c r="B2" i="73" l="1"/>
  <c r="C9" i="73" s="1"/>
  <c r="C8" i="73" l="1"/>
  <c r="C6" i="73"/>
  <c r="L14" i="73"/>
  <c r="L13" i="73"/>
  <c r="L20" i="73"/>
  <c r="L19" i="73"/>
  <c r="L18" i="73"/>
  <c r="L12" i="73"/>
  <c r="H28" i="53"/>
  <c r="E27" i="53"/>
  <c r="G11" i="53" l="1"/>
  <c r="G88" i="53" s="1"/>
  <c r="G89" i="53" s="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4" i="28"/>
  <c r="D27" i="80"/>
  <c r="B3" i="71"/>
  <c r="B13" i="71"/>
  <c r="B3" i="73"/>
  <c r="Y266" i="28"/>
  <c r="B9" i="73" l="1"/>
  <c r="B6" i="73"/>
  <c r="B8" i="73"/>
  <c r="H27" i="80"/>
  <c r="F27" i="80"/>
  <c r="L11" i="73"/>
  <c r="L17"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D9" i="73" l="1"/>
  <c r="E11" i="80" s="1"/>
  <c r="D25" i="80"/>
  <c r="F25" i="80" s="1"/>
  <c r="L7" i="80"/>
  <c r="E9" i="80" s="1"/>
  <c r="M20" i="73"/>
  <c r="F20" i="73" s="1"/>
  <c r="M14" i="73"/>
  <c r="D14" i="73" s="1"/>
  <c r="D8" i="73"/>
  <c r="D6" i="73"/>
  <c r="M12" i="73"/>
  <c r="F12" i="73"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F11" i="80" l="1"/>
  <c r="L8"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30" i="71" l="1"/>
  <c r="L295" i="28"/>
  <c r="J295" i="28"/>
  <c r="H32" i="30"/>
  <c r="F15" i="30"/>
  <c r="F18" i="30" s="1"/>
  <c r="F32" i="30"/>
  <c r="C22" i="30" l="1"/>
  <c r="F21" i="30"/>
  <c r="C21" i="30"/>
  <c r="F23" i="73" l="1"/>
</calcChain>
</file>

<file path=xl/sharedStrings.xml><?xml version="1.0" encoding="utf-8"?>
<sst xmlns="http://schemas.openxmlformats.org/spreadsheetml/2006/main" count="3415" uniqueCount="1597">
  <si>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</si>
  <si>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</si>
  <si>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</si>
  <si>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</si>
  <si>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</si>
  <si>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</si>
  <si>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</si>
  <si>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</si>
  <si>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</si>
  <si>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</si>
  <si>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</si>
  <si>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</si>
  <si>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</si>
  <si>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</si>
  <si>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</si>
  <si>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</si>
  <si>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</si>
  <si>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</si>
  <si>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</si>
  <si>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</si>
  <si>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</si>
  <si>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</si>
  <si>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</si>
  <si>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</si>
  <si>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</si>
  <si>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</si>
  <si>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</si>
  <si>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</si>
  <si>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</si>
  <si>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</si>
  <si>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</si>
  <si>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</si>
  <si>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</si>
  <si>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</si>
  <si>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</si>
  <si>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</si>
  <si>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</si>
  <si>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</si>
  <si>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</si>
  <si>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</si>
  <si>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</si>
  <si>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</si>
  <si>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</si>
  <si>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</si>
  <si>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</si>
  <si>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</si>
  <si>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</si>
  <si>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</si>
  <si>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</si>
  <si>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</si>
  <si>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</si>
  <si>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</si>
  <si>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</si>
  <si>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</si>
  <si>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</si>
  <si>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</si>
  <si>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</si>
  <si>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</si>
  <si>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</si>
  <si>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</si>
  <si>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</si>
  <si>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</si>
  <si>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</si>
  <si>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</si>
  <si>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</si>
  <si>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</si>
  <si>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</si>
  <si>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</si>
  <si>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</si>
  <si>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</si>
  <si>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</si>
  <si>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</si>
  <si>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</si>
  <si>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</si>
  <si>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</si>
  <si>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</si>
  <si>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</si>
  <si>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</si>
  <si>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</si>
  <si>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</si>
  <si>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</si>
  <si>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</si>
  <si>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</si>
  <si>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</si>
  <si>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</si>
  <si>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</si>
  <si>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</si>
  <si>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</si>
  <si>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</si>
  <si>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</si>
  <si>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</si>
  <si>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</si>
  <si>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</si>
  <si>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</si>
  <si>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</si>
  <si>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</si>
  <si>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</si>
  <si>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</si>
  <si>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</si>
  <si>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</si>
  <si>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</si>
  <si>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</si>
  <si>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</si>
  <si>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</si>
  <si>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</si>
  <si>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</si>
  <si>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</si>
  <si>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</si>
  <si>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</si>
  <si>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</si>
  <si>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</si>
  <si>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</si>
  <si>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</si>
  <si>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</si>
  <si>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</si>
  <si>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</si>
  <si>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</si>
  <si>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</si>
  <si>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</si>
  <si>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</si>
  <si>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</si>
  <si>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</si>
  <si>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</si>
  <si>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</si>
  <si>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</si>
  <si>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</si>
  <si>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</si>
  <si>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</si>
  <si>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</si>
  <si>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</si>
  <si>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</si>
  <si>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</si>
  <si>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</si>
  <si>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</si>
  <si>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</si>
  <si>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</si>
  <si>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</si>
  <si>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</si>
  <si>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</si>
  <si>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</si>
  <si>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</si>
  <si>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</si>
  <si>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</si>
  <si>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</si>
  <si>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</si>
  <si>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</si>
  <si>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</si>
  <si>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</si>
  <si>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</si>
  <si>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</si>
  <si>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</si>
  <si>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</si>
  <si>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</si>
  <si>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</si>
  <si>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</si>
  <si>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</si>
  <si>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</si>
  <si>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</si>
  <si>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</si>
  <si>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</si>
  <si>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</si>
  <si>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</si>
  <si>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</si>
  <si>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</si>
  <si>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</si>
  <si>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</si>
  <si>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</si>
  <si>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</si>
  <si>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</si>
  <si>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</si>
  <si>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</si>
  <si>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</si>
  <si>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</si>
  <si>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</si>
  <si>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</si>
  <si>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</si>
  <si>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</si>
  <si>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</si>
  <si>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</si>
  <si>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</si>
  <si>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</si>
  <si>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</si>
  <si>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</si>
  <si>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</si>
  <si>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</si>
  <si>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</si>
  <si>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</si>
  <si>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</si>
  <si>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</si>
  <si>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</si>
  <si>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</si>
  <si>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</si>
  <si>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</si>
  <si>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</si>
  <si>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</si>
  <si>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</si>
  <si>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</si>
  <si>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</si>
  <si>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</si>
  <si>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</si>
  <si>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</si>
  <si>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</si>
  <si>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</si>
  <si>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</si>
  <si>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</si>
  <si>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</si>
  <si>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</si>
  <si>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</si>
  <si>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</si>
  <si>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</si>
  <si>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</si>
  <si>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</si>
  <si>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</si>
  <si>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</si>
  <si>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</si>
  <si>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</si>
  <si>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</si>
  <si>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</si>
  <si>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</si>
  <si>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</si>
  <si>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</si>
  <si>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</si>
  <si>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</si>
  <si>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</si>
  <si>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</si>
  <si>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</si>
  <si>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</si>
  <si>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</si>
  <si>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</si>
  <si>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</si>
  <si>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</si>
  <si>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</si>
  <si>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</si>
  <si>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</si>
  <si>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</si>
  <si>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</si>
  <si>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</si>
  <si>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</si>
  <si>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</si>
  <si>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</si>
  <si>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</si>
  <si>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</si>
  <si>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</si>
  <si>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</si>
  <si>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</si>
  <si>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</si>
  <si>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</si>
  <si>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</si>
  <si>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</si>
  <si>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</si>
  <si>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</si>
  <si>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</si>
  <si>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</si>
  <si>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</si>
  <si>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</si>
  <si>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</si>
  <si>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</si>
  <si>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</si>
  <si>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</si>
  <si>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</si>
  <si>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</si>
  <si>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</si>
  <si>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</si>
  <si>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</si>
  <si>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</si>
  <si>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</si>
  <si>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</si>
  <si>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</si>
  <si>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</si>
  <si>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</si>
  <si>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</si>
  <si>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</si>
  <si>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</si>
  <si>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</si>
  <si>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</si>
  <si>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</si>
  <si>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</si>
  <si>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</si>
  <si>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</si>
  <si>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</si>
  <si>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</si>
  <si>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</si>
  <si>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</si>
  <si>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</si>
  <si>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</si>
  <si>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</si>
  <si>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</si>
  <si>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</si>
  <si>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</si>
  <si>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</si>
  <si>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</si>
  <si>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</si>
  <si>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</si>
  <si>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</si>
  <si>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</si>
  <si>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</si>
  <si>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</si>
  <si>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C-EF- Current liabilities (Inc. Def Rev, Excl. BANs &amp; Comp Abs)</t>
  </si>
  <si>
    <t xml:space="preserve">Combined Totals of all Proprietary Funds - Depreciation &amp; Amortization Expense </t>
  </si>
  <si>
    <t>Combined Totals of all Proprietary Funds - Cash Flow from Operating</t>
  </si>
  <si>
    <t>Hospital-EF- Unrestricted Cash &amp; Invest</t>
  </si>
  <si>
    <t xml:space="preserve">Hospital-EF- Total LT Debt (non current portion only) (BS) </t>
  </si>
  <si>
    <t>Hospital-EF- Principal Paid on LTD (SCF)</t>
  </si>
  <si>
    <t>Hospital-EF- Net Patient Revenue (IS)</t>
  </si>
  <si>
    <t>Hospital-EF- Interest expenses (IS)</t>
  </si>
  <si>
    <t>WS-EF- Current Assets (unrestricted, excl. inventory and prepaids)</t>
  </si>
  <si>
    <t>Hospital-EF- Capital Outlays</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</si>
  <si>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</si>
  <si>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</si>
  <si>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</si>
  <si>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</si>
  <si>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</si>
  <si>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</si>
  <si>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</si>
  <si>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</si>
  <si>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BOE Only- Timber Receipts Revenue</t>
  </si>
  <si>
    <t>Public Housing Authority- HUD Capital grants amount (SCF, don't include operating grants)</t>
  </si>
  <si>
    <t>Public Housing Authority- Amount paid for capital asset acquisition (SCF)</t>
  </si>
  <si>
    <t>Public Housing Authority - Operating income (loss)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</si>
  <si>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</si>
  <si>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</si>
  <si>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</si>
  <si>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</si>
  <si>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</si>
  <si>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</si>
  <si>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</si>
  <si>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</si>
  <si>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</si>
  <si>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</si>
  <si>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</si>
  <si>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</si>
  <si>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</si>
  <si>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</si>
  <si>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</si>
  <si>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</si>
  <si>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</si>
  <si>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</si>
  <si>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</si>
  <si>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</si>
  <si>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</si>
  <si>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</si>
  <si>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</si>
  <si>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</si>
  <si>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</si>
  <si>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</si>
  <si>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</si>
  <si>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</si>
  <si>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</si>
  <si>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</si>
  <si>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</si>
  <si>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</si>
  <si>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</si>
  <si>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</si>
  <si>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</si>
  <si>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</si>
  <si>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</si>
  <si>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</si>
  <si>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</si>
  <si>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</si>
  <si>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</si>
  <si>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</si>
  <si>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Gen Fund - Total Expenditures</t>
  </si>
  <si>
    <t>Gen Fund - Proceeds from LTD</t>
  </si>
  <si>
    <t>Debt Service payments made from Bond investments</t>
  </si>
  <si>
    <t>not currently used</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</si>
  <si>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</si>
  <si>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</si>
  <si>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</si>
  <si>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</si>
  <si>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</si>
  <si>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</si>
  <si>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</si>
  <si>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</si>
  <si>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</si>
  <si>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</si>
  <si>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</si>
  <si>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</si>
  <si>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</si>
  <si>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</si>
  <si>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</si>
  <si>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</si>
  <si>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</si>
  <si>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</si>
  <si>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</si>
  <si>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</si>
  <si>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GF- Proceeds from all LT debt issuance (COPs, IPs, Notes, CLs, etc.)</t>
  </si>
  <si>
    <t>Hospital-EF - Patient A/Rec, net</t>
  </si>
  <si>
    <t>Hospital-EF- Total Gross Capital Assets (BS), w/o acc. dep.</t>
  </si>
  <si>
    <t xml:space="preserve">Hospital-EF- Unrestricted Fund Equity/Net Assets </t>
  </si>
  <si>
    <t>E-EF- Current Assets (unrestricted, excl. inventory and prepaids)</t>
  </si>
  <si>
    <t>E-EF- Net Transfers In(Out)- with GF only</t>
  </si>
  <si>
    <t>Hospital-EF - Total Operating Revenues</t>
  </si>
  <si>
    <t xml:space="preserve">Hospital-EF- Total Operating Expenses. May include Interest Exp. </t>
  </si>
  <si>
    <t>Gov - Select Current Liabilities</t>
  </si>
  <si>
    <t>GA- Total Net transfers in(out) (SOA)</t>
  </si>
  <si>
    <t>WS-EF- Total depreciable capital assets, gross</t>
  </si>
  <si>
    <t>GF- Restricted cash &amp; investments</t>
  </si>
  <si>
    <t>Yes  or "1" indicates unit has defined benefit other than the ones adm. By the state</t>
  </si>
  <si>
    <t>WS-Advance From - Liability</t>
  </si>
  <si>
    <t>WS-Advance To - Asset</t>
  </si>
  <si>
    <t>EF-Advance From - Liability</t>
  </si>
  <si>
    <t>EF-Advance To - Asset</t>
  </si>
  <si>
    <t>TDA- Government Wide current and long-term debt</t>
  </si>
  <si>
    <t>Bus- Total Expenses</t>
  </si>
  <si>
    <t>Bus-Total Revenues</t>
  </si>
  <si>
    <t>County only-timber receipts sent to the schools</t>
  </si>
  <si>
    <t>GF - Advance from</t>
  </si>
  <si>
    <t>Local Curr Exp trx to Fund 8</t>
  </si>
  <si>
    <t>Capital Outlay trx to Fund 8</t>
  </si>
  <si>
    <t>County-supplemental school tax reported in Agency fund</t>
  </si>
  <si>
    <t xml:space="preserve">This is a description question that is retained on the data input tab - This information is not uploaded to CCH or our data base </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</si>
  <si>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</si>
  <si>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</si>
  <si>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</si>
  <si>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</si>
  <si>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</si>
  <si>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</si>
  <si>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</si>
  <si>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</si>
  <si>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</si>
  <si>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</si>
  <si>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Interest income from statement of activitites</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</si>
  <si>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</si>
  <si>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</si>
  <si>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</si>
  <si>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</si>
  <si>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</si>
  <si>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</si>
  <si>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</si>
  <si>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</si>
  <si>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</si>
  <si>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</si>
  <si>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</si>
  <si>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</si>
  <si>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</si>
  <si>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</si>
  <si>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</si>
  <si>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</si>
  <si>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</si>
  <si>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</si>
  <si>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</si>
  <si>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</si>
  <si>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</si>
  <si>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</si>
  <si>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</si>
  <si>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</si>
  <si>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</si>
  <si>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</si>
  <si>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Net OPEB Liability (RHBF)</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</si>
  <si>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</si>
  <si>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</si>
  <si>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</si>
  <si>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</si>
  <si>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</si>
  <si>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</si>
  <si>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</si>
  <si>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</si>
  <si>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</si>
  <si>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</si>
  <si>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</si>
  <si>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</si>
  <si>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</si>
  <si>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</si>
  <si>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</si>
  <si>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</si>
  <si>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</si>
  <si>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</si>
  <si>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</si>
  <si>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</si>
  <si>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</si>
  <si>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</si>
  <si>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</si>
  <si>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</si>
  <si>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</si>
  <si>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</si>
  <si>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</si>
  <si>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</si>
  <si>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</si>
  <si>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</si>
  <si>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</si>
  <si>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</si>
  <si>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</si>
  <si>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</si>
  <si>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</si>
  <si>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</si>
  <si>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</si>
  <si>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</si>
  <si>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</si>
  <si>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</si>
  <si>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</si>
  <si>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</si>
  <si>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</si>
  <si>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</si>
  <si>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</si>
  <si>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</si>
  <si>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</si>
  <si>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</si>
  <si>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</si>
  <si>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</si>
  <si>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</si>
  <si>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</si>
  <si>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</si>
  <si>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</si>
  <si>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</si>
  <si>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</si>
  <si>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</si>
  <si>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</si>
  <si>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</si>
  <si>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</si>
  <si>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</si>
  <si>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</si>
  <si>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</si>
  <si>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</si>
  <si>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</si>
  <si>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</si>
  <si>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</si>
  <si>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</si>
  <si>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</si>
  <si>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</si>
  <si>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</si>
  <si>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</si>
  <si>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</si>
  <si>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</si>
  <si>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</si>
  <si>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</si>
  <si>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</si>
  <si>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</si>
  <si>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</si>
  <si>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</si>
  <si>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</si>
  <si>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</si>
  <si>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</si>
  <si>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</si>
  <si>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</si>
  <si>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</si>
  <si>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</si>
  <si>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</si>
  <si>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</si>
  <si>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</si>
  <si>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</si>
  <si>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</si>
  <si>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</si>
  <si>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</si>
  <si>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</si>
  <si>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</si>
  <si>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</si>
  <si>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</si>
  <si>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</si>
  <si>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</si>
  <si>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</si>
  <si>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</si>
  <si>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</si>
  <si>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</si>
  <si>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</si>
  <si>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</si>
  <si>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</si>
  <si>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</si>
  <si>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</si>
  <si>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</si>
  <si>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</si>
  <si>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</si>
  <si>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</si>
  <si>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</si>
  <si>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</si>
  <si>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</si>
  <si>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</si>
  <si>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</si>
  <si>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</si>
  <si>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</si>
  <si>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</si>
  <si>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</si>
  <si>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</si>
  <si>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</si>
  <si>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</si>
  <si>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</si>
  <si>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Hospital-EF- Change in Net Assets</t>
  </si>
  <si>
    <t>OPEB- Annual Expenses</t>
  </si>
  <si>
    <t>Amount of the Water Sewer Fund Balance appropriated in next year's budget</t>
  </si>
  <si>
    <t>Supplemental School Tax</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</si>
  <si>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</si>
  <si>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</si>
  <si>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</si>
  <si>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</si>
  <si>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</si>
  <si>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</si>
  <si>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</si>
  <si>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</si>
  <si>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</si>
  <si>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</si>
  <si>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</si>
  <si>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</si>
  <si>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</si>
  <si>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</si>
  <si>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</si>
  <si>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</si>
  <si>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</si>
  <si>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</si>
  <si>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</si>
  <si>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</si>
  <si>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</si>
  <si>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</si>
  <si>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</si>
  <si>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</si>
  <si>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</si>
  <si>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</si>
  <si>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</si>
  <si>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</si>
  <si>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</si>
  <si>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</si>
  <si>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</si>
  <si>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</si>
  <si>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</si>
  <si>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</si>
  <si>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</si>
  <si>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</si>
  <si>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</si>
  <si>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</si>
  <si>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</si>
  <si>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</si>
  <si>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</si>
  <si>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</si>
  <si>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</si>
  <si>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</si>
  <si>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</si>
  <si>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</si>
  <si>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</si>
  <si>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</si>
  <si>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</si>
  <si>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</si>
  <si>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</si>
  <si>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</si>
  <si>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</si>
  <si>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</si>
  <si>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</si>
  <si>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</si>
  <si>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</si>
  <si>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</si>
  <si>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</si>
  <si>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</si>
  <si>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</si>
  <si>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</si>
  <si>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</si>
  <si>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</si>
  <si>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</si>
  <si>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</si>
  <si>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</si>
  <si>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</si>
  <si>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</si>
  <si>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</si>
  <si>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</si>
  <si>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</si>
  <si>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</si>
  <si>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</si>
  <si>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</si>
  <si>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</si>
  <si>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</si>
  <si>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</si>
  <si>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</si>
  <si>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</si>
  <si>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</si>
  <si>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</si>
  <si>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</si>
  <si>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</si>
  <si>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</si>
  <si>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</si>
  <si>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</si>
  <si>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</si>
  <si>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</si>
  <si>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</si>
  <si>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</si>
  <si>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</si>
  <si>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</si>
  <si>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</si>
  <si>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</si>
  <si>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</si>
  <si>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</si>
  <si>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</si>
  <si>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</si>
  <si>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</si>
  <si>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</si>
  <si>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</si>
  <si>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</si>
  <si>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</si>
  <si>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</si>
  <si>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</si>
  <si>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</si>
  <si>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</si>
  <si>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</si>
  <si>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</si>
  <si>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</si>
  <si>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</si>
  <si>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</si>
  <si>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</si>
  <si>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</si>
  <si>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</si>
  <si>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</si>
  <si>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</si>
  <si>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</si>
  <si>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</si>
  <si>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</si>
  <si>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</si>
  <si>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</si>
  <si>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</si>
  <si>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</si>
  <si>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</si>
  <si>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</si>
  <si>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</si>
  <si>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</si>
  <si>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</si>
  <si>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</si>
  <si>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</si>
  <si>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</si>
  <si>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</si>
  <si>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</si>
  <si>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</si>
  <si>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</si>
  <si>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</si>
  <si>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</si>
  <si>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</si>
  <si>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</si>
  <si>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</si>
  <si>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</si>
  <si>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</si>
  <si>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</si>
  <si>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</si>
  <si>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</si>
  <si>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</si>
  <si>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</si>
  <si>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</si>
  <si>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</si>
  <si>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</si>
  <si>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</si>
  <si>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</si>
  <si>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</si>
  <si>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</si>
  <si>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</si>
  <si>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</si>
  <si>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</si>
  <si>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</si>
  <si>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</si>
  <si>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</si>
  <si>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</si>
  <si>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</si>
  <si>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</si>
  <si>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</si>
  <si>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</si>
  <si>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</si>
  <si>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</si>
  <si>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</si>
  <si>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</si>
  <si>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</si>
  <si>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</si>
  <si>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</si>
  <si>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</si>
  <si>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</si>
  <si>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</si>
  <si>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</si>
  <si>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</si>
  <si>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</si>
  <si>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</si>
  <si>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</si>
  <si>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</si>
  <si>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</si>
  <si>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</si>
  <si>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</si>
  <si>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</si>
  <si>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</si>
  <si>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</si>
  <si>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</si>
  <si>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</si>
  <si>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</si>
  <si>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</si>
  <si>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</si>
  <si>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</si>
  <si>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</si>
  <si>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</si>
  <si>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</si>
  <si>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</si>
  <si>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</si>
  <si>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</si>
  <si>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</si>
  <si>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</si>
  <si>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</si>
  <si>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</si>
  <si>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</si>
  <si>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</si>
  <si>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</si>
  <si>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</si>
  <si>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</si>
  <si>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</si>
  <si>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</si>
  <si>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</si>
  <si>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</si>
  <si>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</si>
  <si>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</si>
  <si>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</si>
  <si>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</si>
  <si>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</si>
  <si>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</si>
  <si>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</si>
  <si>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</si>
  <si>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</si>
  <si>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</si>
  <si>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</si>
  <si>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</si>
  <si>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</si>
  <si>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</si>
  <si>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</si>
  <si>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</si>
  <si>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</si>
  <si>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</si>
  <si>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</si>
  <si>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</si>
  <si>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</si>
  <si>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</si>
  <si>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</si>
  <si>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</si>
  <si>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</si>
  <si>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</si>
  <si>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DO NOT DELETE THIS ROW</t>
  </si>
  <si>
    <t>hidden data</t>
  </si>
  <si>
    <t>(532+509+20-533-508)</t>
  </si>
  <si>
    <t>GF  FBA without Powell Bill</t>
  </si>
  <si>
    <t>GF FBA% of Exp w/o Powell Bill</t>
  </si>
  <si>
    <t>WS Quick Ratio</t>
  </si>
  <si>
    <t>Operating Net Income (loss) excluding depreciation+ debt service principal</t>
  </si>
  <si>
    <t>Unit Data from Audit worksheet tab : 80/(85+351-49+331)</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</si>
  <si>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</si>
  <si>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</si>
  <si>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</si>
  <si>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</si>
  <si>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</si>
  <si>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</si>
  <si>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</si>
  <si>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</si>
  <si>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</si>
  <si>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</si>
  <si>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</si>
  <si>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</si>
  <si>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</si>
  <si>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</si>
  <si>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</si>
  <si>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</si>
  <si>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</si>
  <si>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</si>
  <si>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</si>
  <si>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</si>
  <si>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</si>
  <si>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</si>
  <si>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</si>
  <si>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</si>
  <si>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</si>
  <si>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</si>
  <si>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</si>
  <si>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</si>
  <si>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</si>
  <si>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</si>
  <si>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</si>
  <si>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</si>
  <si>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</si>
  <si>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</si>
  <si>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</si>
  <si>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</si>
  <si>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</si>
  <si>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</si>
  <si>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</si>
  <si>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</si>
  <si>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</si>
  <si>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</si>
  <si>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</si>
  <si>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</si>
  <si>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</si>
  <si>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</si>
  <si>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</si>
  <si>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</si>
  <si>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</si>
  <si>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</si>
  <si>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</si>
  <si>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</si>
  <si>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</si>
  <si>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</si>
  <si>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</si>
  <si>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</si>
  <si>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</si>
  <si>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</si>
  <si>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</si>
  <si>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</si>
  <si>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</si>
  <si>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</si>
  <si>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</si>
  <si>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</si>
  <si>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</si>
  <si>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</si>
  <si>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</si>
  <si>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</si>
  <si>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</si>
  <si>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</si>
  <si>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</si>
  <si>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</si>
  <si>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</si>
  <si>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</si>
  <si>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</si>
  <si>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</si>
  <si>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</si>
  <si>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</si>
  <si>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</si>
  <si>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</si>
  <si>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</si>
  <si>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</si>
  <si>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</si>
  <si>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</si>
  <si>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</si>
  <si>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</si>
  <si>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</si>
  <si>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</si>
  <si>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</si>
  <si>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</si>
  <si>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</si>
  <si>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</si>
  <si>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</si>
  <si>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</si>
  <si>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</si>
  <si>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</si>
  <si>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</si>
  <si>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</si>
  <si>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</si>
  <si>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</si>
  <si>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</si>
  <si>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</si>
  <si>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</si>
  <si>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</si>
  <si>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</si>
  <si>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</si>
  <si>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</si>
  <si>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</si>
  <si>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</si>
  <si>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</si>
  <si>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</si>
  <si>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</si>
  <si>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</si>
  <si>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</si>
  <si>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</si>
  <si>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</si>
  <si>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</si>
  <si>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</si>
  <si>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</si>
  <si>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</si>
  <si>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</si>
  <si>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</si>
  <si>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</si>
  <si>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</si>
  <si>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</si>
  <si>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</si>
  <si>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</si>
  <si>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</si>
  <si>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</si>
  <si>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</si>
  <si>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</si>
  <si>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</si>
  <si>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</si>
  <si>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</si>
  <si>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</si>
  <si>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</si>
  <si>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</si>
  <si>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</si>
  <si>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</si>
  <si>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</si>
  <si>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</si>
  <si>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</si>
  <si>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</si>
  <si>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</si>
  <si>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</si>
  <si>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</si>
  <si>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</si>
  <si>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</si>
  <si>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</si>
  <si>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</si>
  <si>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</si>
  <si>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</si>
  <si>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</si>
  <si>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</si>
  <si>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</si>
  <si>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</si>
  <si>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</si>
  <si>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</si>
  <si>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</si>
  <si>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</si>
  <si>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</si>
  <si>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</si>
  <si>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</si>
  <si>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</si>
  <si>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</si>
  <si>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</si>
  <si>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</si>
  <si>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</si>
  <si>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</si>
  <si>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</si>
  <si>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</si>
  <si>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</si>
  <si>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</si>
  <si>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</si>
  <si>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</si>
  <si>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</si>
  <si>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</si>
  <si>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</si>
  <si>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</si>
  <si>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</si>
  <si>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</si>
  <si>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</si>
  <si>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</si>
  <si>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</si>
  <si>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</si>
  <si>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</si>
  <si>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</si>
  <si>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</si>
  <si>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</si>
  <si>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</si>
  <si>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</si>
  <si>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</si>
  <si>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</si>
  <si>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</si>
  <si>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</si>
  <si>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</si>
  <si>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</si>
  <si>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</si>
  <si>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</si>
  <si>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</si>
  <si>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</si>
  <si>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</si>
  <si>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</si>
  <si>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</si>
  <si>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</si>
  <si>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</si>
  <si>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</si>
  <si>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</si>
  <si>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</si>
  <si>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</si>
  <si>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</si>
  <si>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</si>
  <si>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</si>
  <si>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</si>
  <si>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</si>
  <si>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</si>
  <si>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</si>
  <si>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</si>
  <si>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</si>
  <si>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</si>
  <si>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</si>
  <si>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</si>
  <si>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</si>
  <si>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</si>
  <si>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</si>
  <si>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</si>
  <si>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</si>
  <si>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</si>
  <si>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</si>
  <si>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</si>
  <si>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</si>
  <si>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</si>
  <si>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</si>
  <si>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</si>
  <si>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</si>
  <si>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</si>
  <si>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</si>
  <si>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</si>
  <si>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</si>
  <si>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</si>
  <si>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</si>
  <si>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</si>
  <si>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</si>
  <si>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</si>
  <si>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</si>
  <si>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</si>
  <si>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</si>
  <si>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</si>
  <si>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</si>
  <si>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</si>
  <si>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</si>
  <si>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</si>
  <si>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</si>
  <si>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</si>
  <si>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</si>
  <si>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</si>
  <si>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</si>
  <si>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</si>
  <si>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</si>
  <si>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</si>
  <si>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</si>
  <si>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</si>
  <si>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</si>
  <si>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</si>
  <si>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</si>
  <si>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</si>
  <si>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</si>
  <si>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</si>
  <si>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</si>
  <si>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</si>
  <si>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</si>
  <si>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</si>
  <si>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</si>
  <si>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</si>
  <si>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</si>
  <si>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</si>
  <si>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</si>
  <si>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</si>
  <si>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</si>
  <si>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</si>
  <si>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</si>
  <si>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</si>
  <si>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</si>
  <si>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</si>
  <si>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</si>
  <si>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</si>
  <si>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</si>
  <si>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</si>
  <si>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</si>
  <si>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</si>
  <si>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</si>
  <si>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</si>
  <si>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</si>
  <si>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</si>
  <si>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</si>
  <si>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</si>
  <si>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</si>
  <si>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</si>
  <si>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</si>
  <si>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</si>
  <si>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</si>
  <si>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</si>
  <si>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</si>
  <si>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</si>
  <si>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</si>
  <si>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</si>
  <si>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</si>
  <si>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</si>
  <si>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</si>
  <si>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</si>
  <si>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</si>
  <si>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</si>
  <si>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</si>
  <si>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</si>
  <si>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</si>
  <si>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</si>
  <si>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</si>
  <si>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</si>
  <si>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</si>
  <si>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</si>
  <si>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</si>
  <si>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</si>
  <si>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</si>
  <si>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</si>
  <si>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</si>
  <si>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</si>
  <si>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</si>
  <si>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</si>
  <si>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</si>
  <si>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</si>
  <si>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</si>
  <si>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</si>
  <si>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</si>
  <si>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</si>
  <si>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</si>
  <si>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</si>
  <si>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</si>
  <si>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</si>
  <si>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</si>
  <si>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</si>
  <si>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</si>
  <si>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</si>
  <si>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</si>
  <si>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</si>
  <si>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</si>
  <si>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</si>
  <si>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</si>
  <si>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</si>
  <si>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</si>
  <si>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</si>
  <si>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</si>
  <si>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</si>
  <si>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</si>
  <si>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</si>
  <si>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</si>
  <si>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</si>
  <si>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</si>
  <si>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</si>
  <si>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</si>
  <si>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</si>
  <si>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</si>
  <si>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</si>
  <si>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</si>
  <si>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</si>
  <si>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</si>
  <si>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</si>
  <si>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</si>
  <si>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</si>
  <si>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</si>
  <si>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</si>
  <si>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</si>
  <si>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</si>
  <si>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</si>
  <si>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</si>
  <si>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</si>
  <si>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</si>
  <si>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</si>
  <si>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</si>
  <si>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</si>
  <si>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</si>
  <si>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</si>
  <si>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</si>
  <si>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</si>
  <si>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</si>
  <si>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</si>
  <si>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</si>
  <si>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</si>
  <si>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</si>
  <si>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</si>
  <si>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</si>
  <si>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</si>
  <si>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</si>
  <si>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</si>
  <si>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</si>
  <si>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</si>
  <si>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</si>
  <si>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</si>
  <si>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</si>
  <si>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</si>
  <si>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</si>
  <si>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</si>
  <si>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</si>
  <si>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</si>
  <si>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</si>
  <si>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</si>
  <si>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</si>
  <si>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</si>
  <si>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</si>
  <si>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</si>
  <si>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</si>
  <si>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</si>
  <si>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</si>
  <si>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</si>
  <si>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</si>
  <si>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</si>
  <si>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</si>
  <si>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</si>
  <si>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</si>
  <si>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</si>
  <si>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</si>
  <si>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</si>
  <si>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</si>
  <si>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</si>
  <si>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</si>
  <si>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</si>
  <si>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</si>
  <si>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</si>
  <si>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</si>
  <si>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</si>
  <si>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</si>
  <si>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</si>
  <si>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</si>
  <si>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</si>
  <si>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</si>
  <si>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</si>
  <si>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</si>
  <si>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</si>
  <si>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</si>
  <si>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</si>
  <si>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</si>
  <si>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</si>
  <si>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</si>
  <si>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</si>
  <si>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</si>
  <si>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</si>
  <si>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</si>
  <si>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</si>
  <si>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</si>
  <si>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</si>
  <si>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</si>
  <si>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</si>
  <si>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</si>
  <si>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</si>
  <si>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</si>
  <si>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</si>
  <si>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</si>
  <si>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</si>
  <si>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</si>
  <si>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</si>
  <si>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</si>
  <si>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</si>
  <si>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</si>
  <si>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</si>
  <si>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</si>
  <si>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</si>
  <si>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</si>
  <si>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</si>
  <si>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</si>
  <si>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</si>
  <si>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</si>
  <si>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</si>
  <si>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</si>
  <si>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</si>
  <si>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</si>
  <si>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</si>
  <si>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</si>
  <si>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</si>
  <si>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</si>
  <si>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</si>
  <si>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</si>
  <si>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</si>
  <si>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</si>
  <si>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</si>
  <si>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</si>
  <si>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</si>
  <si>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</si>
  <si>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</si>
  <si>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</si>
  <si>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</si>
  <si>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</si>
  <si>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</si>
  <si>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</si>
  <si>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</si>
  <si>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</si>
  <si>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</si>
  <si>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</si>
  <si>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</si>
  <si>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</si>
  <si>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</si>
  <si>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</si>
  <si>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</si>
  <si>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</si>
  <si>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</si>
  <si>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</si>
  <si>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</si>
  <si>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</si>
  <si>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</si>
  <si>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</si>
  <si>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</si>
  <si>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</si>
  <si>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</si>
  <si>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</si>
  <si>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</si>
  <si>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</si>
  <si>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</si>
  <si>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</si>
  <si>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</si>
  <si>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</si>
  <si>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</si>
  <si>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</si>
  <si>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</si>
  <si>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</si>
  <si>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</si>
  <si>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</si>
  <si>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</si>
  <si>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</si>
  <si>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</si>
  <si>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</si>
  <si>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</si>
  <si>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</si>
  <si>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</si>
  <si>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</si>
  <si>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</si>
  <si>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</si>
  <si>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</si>
  <si>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</si>
  <si>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</si>
  <si>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</si>
  <si>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</si>
  <si>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</si>
  <si>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</si>
  <si>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</si>
  <si>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</si>
  <si>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</si>
  <si>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</si>
  <si>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</si>
  <si>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</si>
  <si>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</si>
  <si>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</si>
  <si>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</si>
  <si>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2021</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</si>
  <si>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</si>
  <si>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</si>
  <si>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</si>
  <si>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</si>
  <si>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</si>
  <si>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</si>
  <si>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</si>
  <si>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</si>
  <si>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</si>
  <si>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</si>
  <si>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</si>
  <si>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</si>
  <si>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</si>
  <si>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</si>
  <si>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</si>
  <si>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</si>
  <si>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</si>
  <si>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</si>
  <si>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</si>
  <si>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</si>
  <si>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</si>
  <si>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</si>
  <si>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</si>
  <si>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Data Import 2019</t>
  </si>
  <si>
    <t>Alamance County Transportation Authority</t>
  </si>
  <si>
    <t>Albemarle District Jail Commission</t>
  </si>
  <si>
    <t>Albemarle Regional Solid Waste</t>
  </si>
  <si>
    <t>Appalcart</t>
  </si>
  <si>
    <t>Bald Head Island Transportation Authority</t>
  </si>
  <si>
    <t>Bear Paw Recreation and Security Service District</t>
  </si>
  <si>
    <t>Bertie-Martin Regional Jail</t>
  </si>
  <si>
    <t>Burke-Catawba Regional Jail Agency</t>
  </si>
  <si>
    <t>Cape Fear Public Transportation Authority</t>
  </si>
  <si>
    <t>Centennial Authority, The</t>
  </si>
  <si>
    <t>Choanoke Public Transportation Authority</t>
  </si>
  <si>
    <t>Clay County Rural Development Authority</t>
  </si>
  <si>
    <t>Coastal Regional Solid Waste Management Authority</t>
  </si>
  <si>
    <t>Davie County Soil &amp; Water Conservation District</t>
  </si>
  <si>
    <t>Davie County Watershed Improvement Commission</t>
  </si>
  <si>
    <t>Downtown Boone Development Association</t>
  </si>
  <si>
    <t>Downtown Oxford Economic Development Corporation</t>
  </si>
  <si>
    <t>Durham-Wake Counties Research &amp; Prod. Serv. Dist.</t>
  </si>
  <si>
    <t>ElectriCities of North Carolina</t>
  </si>
  <si>
    <t>Elizabeth City-Pasquotank County Economic Development Commission</t>
  </si>
  <si>
    <t>Goldsboro-Wayne Transportation Authority</t>
  </si>
  <si>
    <t>Graham County Rural Development Authority</t>
  </si>
  <si>
    <t>Hatteras Village Community Center District</t>
  </si>
  <si>
    <t>K. A. R. T. S.</t>
  </si>
  <si>
    <t>Lake Norman Marine Commission</t>
  </si>
  <si>
    <t>Lake Wylie Marine Commission</t>
  </si>
  <si>
    <t>Madison-Mayodan Recreation Commission</t>
  </si>
  <si>
    <t>Mecklenburg Emergency Medical Services</t>
  </si>
  <si>
    <t>MI Connection Communications System</t>
  </si>
  <si>
    <t>Oxford Parking Authority</t>
  </si>
  <si>
    <t>Person-Caswell Lake Authority</t>
  </si>
  <si>
    <t>Piedmont Authority For Regional Transportation</t>
  </si>
  <si>
    <t>Pitt County Industrial Development Commission</t>
  </si>
  <si>
    <t>Research Triangle Regional Public Trans. Auth.</t>
  </si>
  <si>
    <t>Rodanthe-Waves-Salvo Community Center District</t>
  </si>
  <si>
    <t>Scotland County Historic Properties Commission</t>
  </si>
  <si>
    <t>South Granville Memorial Gardens</t>
  </si>
  <si>
    <t>Stumpy Point Community Center District</t>
  </si>
  <si>
    <t>Wanchese Community Center District</t>
  </si>
  <si>
    <t>Western Carteret Interlocal Cooperation Agency</t>
  </si>
  <si>
    <t>Western Piedmont Regional Transit Authority</t>
  </si>
  <si>
    <t>Wilkes Transportation Authority</t>
  </si>
  <si>
    <t>Yancey County Economic Development Commission</t>
  </si>
  <si>
    <t>"Comb-Proprietary-Current Assets less restricted assets and deferred outflows
"</t>
  </si>
  <si>
    <t>GF- Total expenditures. Enter as positive.</t>
  </si>
  <si>
    <t>Combined Total of all Proprietary Funds - Change in Net Position</t>
  </si>
  <si>
    <t>WS-EF- Current Assets (unrestricted, incl. inventory and prepaids)</t>
  </si>
  <si>
    <t>WS-EF- Current Liabilities (Incl. unearned rev, Excl. BANs, Comp Abs, Payables from rest. Assets). Enter as positive.</t>
  </si>
  <si>
    <t>E-EF- Current Assets (unrestricted, incl. inventory and prepaids)</t>
  </si>
  <si>
    <t>E-EF- Current liabilites (Incl. unearned rev, Excl. BANs, Comp Abs, Payable from rest. Assets). Enter as positive.</t>
  </si>
  <si>
    <t>WS-EF- Depreciation &amp; Amort. Expense. Enter as positive.</t>
  </si>
  <si>
    <t>WS-EF- Change in Net Assets - per exhibit</t>
  </si>
  <si>
    <t>WS-EF- Cash Flow from Operating Activities</t>
  </si>
  <si>
    <t>E-EF- Depreciation &amp; Amort. Expense. Enter as positive.</t>
  </si>
  <si>
    <t>E-EF- Changes in Net Assets - per exhibit</t>
  </si>
  <si>
    <t>E-EF- Cash Flow from Operating Activities</t>
  </si>
  <si>
    <t>Tax Collection Rate- UNIT-WIDE</t>
  </si>
  <si>
    <t>WS-EF- Unrestricted Cash &amp; Investments</t>
  </si>
  <si>
    <t>WS-EF- Customer Accounts Receivable, net (billed &amp; unbilled)</t>
  </si>
  <si>
    <t>WS-EF- Total LT Debt (ST &amp;LT; External debt only; No Comp Abs, Pension, OPEB) Enter as positive.</t>
  </si>
  <si>
    <t>WS-EF- Total net assets</t>
  </si>
  <si>
    <t>WS-EF- Total Operating Revenues</t>
  </si>
  <si>
    <t>WS-EF- Total Operating Expenses. Enter as positive.</t>
  </si>
  <si>
    <t>WS-EF- Charges For Services</t>
  </si>
  <si>
    <t>WS-EF- Interest Expense. Enter as positive.</t>
  </si>
  <si>
    <t>E-EF- Unrestricted Cash and Investments</t>
  </si>
  <si>
    <t>E-EF- Customer Accounts Receivable (net)</t>
  </si>
  <si>
    <t>E-EF- Gross Capital Assets (notes or stmt)</t>
  </si>
  <si>
    <t>E-EF- Total Operating Revenues</t>
  </si>
  <si>
    <t>E-EF- Total Operating Expenses. Enter as positive.</t>
  </si>
  <si>
    <t>E-EF- Charges for Services</t>
  </si>
  <si>
    <t>E-EF- Interest expense [Enter as positive]</t>
  </si>
  <si>
    <t>E-EF- Electrical Power Purchases. Enter as positive.</t>
  </si>
  <si>
    <t>E-EF- Principal paid on LTD [Enter as positive](SCF)</t>
  </si>
  <si>
    <t>E-EF- Capital Outlay (SCF) Enter as positive.</t>
  </si>
  <si>
    <t>Tax Collection Rate - Excluding Motor Vehicles</t>
  </si>
  <si>
    <t>Tax Collection Rate - Motor Vehicles</t>
  </si>
  <si>
    <t>WS-EF- Capital contributions (only positive)</t>
  </si>
  <si>
    <t>E-EF- Capital contributions (only positive)</t>
  </si>
  <si>
    <t>WS-EF- Land and intangibles</t>
  </si>
  <si>
    <t>WS-EF- CIP (construction in progress)</t>
  </si>
  <si>
    <t>WS-EF- Accumulated Infrastructure Deprec Expense. Enter as positive.</t>
  </si>
  <si>
    <t>WS-EF- Principal paid on LTD [Enter as positive](SCF)</t>
  </si>
  <si>
    <t>WS-EF- Capital Outlay (SCF) Enter as positive.</t>
  </si>
  <si>
    <t>GA- Total LTD (ST &amp;LT, include BANs; No Comp Abs, Pension, OPEB)(Notes) Enter as positive.</t>
  </si>
  <si>
    <t>GA- Total Program revenues (positive only)(SOA)</t>
  </si>
  <si>
    <t>GA- Principal paid on LT Debt (Notes) Enter as positive.</t>
  </si>
  <si>
    <t>GA- Interest of LTD (SOA) Enter as positive.</t>
  </si>
  <si>
    <t>WS-EF- Total Accum Deprec on all capital assets. Enter as positive.</t>
  </si>
  <si>
    <t>WS-EF- Total liabilities. Enter as positive.</t>
  </si>
  <si>
    <t>WS-EF- Total non-operating revenue only (exclude Capital Contributions)</t>
  </si>
  <si>
    <t>WS-EF- Total non-operating expense only (Enter as Positive)</t>
  </si>
  <si>
    <t>WS-EF- Total transfers in</t>
  </si>
  <si>
    <t>WS-EF- Total transfers out (include PILOTS)(Enter as positive).</t>
  </si>
  <si>
    <t>E-EF- Total depreciable capital assets, gross</t>
  </si>
  <si>
    <t>E-EF- Total Accum Deprec on all capital assets. Enter as positive.</t>
  </si>
  <si>
    <t>E-EF- Total LT Debt (ST &amp;LT; External debt only; No Comp Abs, Pension, OPEB) Enter as positive.</t>
  </si>
  <si>
    <t>E-EF- Total liabilites. Enter as positive.</t>
  </si>
  <si>
    <t>E-EF- Total net assets, unrestricted</t>
  </si>
  <si>
    <t>E-EF- Total net assets</t>
  </si>
  <si>
    <t>E-EF- Total non-operating revenue only (exclude Capital Contributions)</t>
  </si>
  <si>
    <t>E-EF- Total non-operating expense only (Enter as positive)</t>
  </si>
  <si>
    <t>E-EF- Total transfers in</t>
  </si>
  <si>
    <t>E-EF- Total transfers out (includes PILOTS)(Enter as positive)</t>
  </si>
  <si>
    <t>GF- Liabilities payable from restricted assets. Enter as positive.</t>
  </si>
  <si>
    <t>GF- Total Intergovernmental revenue (Rest &amp; Unrest)</t>
  </si>
  <si>
    <t>GF- Principal &amp; interest paid on LT debt (Exh. 4) Enter as positive.</t>
  </si>
  <si>
    <t>GF- Transfers out to Debt Service Fund (Enter as positive)</t>
  </si>
  <si>
    <t>WS-EF- Total net assets, unrestricted</t>
  </si>
  <si>
    <t>WS-EF- PPA &amp; restatements to Beg. Bal.</t>
  </si>
  <si>
    <t>E-EF- PPA &amp; restatements to Beg. Bal.</t>
  </si>
  <si>
    <t>WS-EF- Total assets</t>
  </si>
  <si>
    <t>E-EF- Total assets</t>
  </si>
  <si>
    <t>WS-EF- Unearned revenue. Enter as positive.</t>
  </si>
  <si>
    <t>E-EF- Unearned revenue. Enter as positive.</t>
  </si>
  <si>
    <t>Retiree Premiums pd by unit</t>
  </si>
  <si>
    <t>Amt interest-investment income for Gov. Prop. Funds</t>
  </si>
  <si>
    <t>The Unfunded actuarially accrued liability for the unit's LEO benefit.</t>
  </si>
  <si>
    <t>Internal Control-1) no IC issues 2)Immaterial 3) Unit letter for IC 4) Unit visit for IC</t>
  </si>
  <si>
    <t>Charter School Debt issued Outside NC</t>
  </si>
  <si>
    <t xml:space="preserve">Mental Health - Proceeds from LTD </t>
  </si>
  <si>
    <t>Hospital - Budget required if .02</t>
  </si>
  <si>
    <t>Contract Required if .03</t>
  </si>
  <si>
    <t>In your professional opinion do you believe the unit of government can best be served by:
100 - No UL
200 - UL with call
300 - UL call-investing
400 - UL visit
500 - SUL</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</si>
  <si>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</si>
  <si>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</si>
  <si>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</si>
  <si>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</si>
  <si>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 xml:space="preserve">                    -  </t>
  </si>
  <si>
    <t>Brunswick County Economic Development Commission</t>
  </si>
  <si>
    <t>Butner Public Safety Authority</t>
  </si>
  <si>
    <t>Greensboro Center City Corporation</t>
  </si>
  <si>
    <t>Hertford County Economic Development Commission</t>
  </si>
  <si>
    <t>Morganton Redevelopment Commission</t>
  </si>
  <si>
    <t>Mountain Island Lake Marine Commission</t>
  </si>
  <si>
    <t>New River Service Authority</t>
  </si>
  <si>
    <t>North Carolina's Eastern Region Development Commission</t>
  </si>
  <si>
    <t>Master 2020</t>
  </si>
  <si>
    <t>Data Import 2020</t>
  </si>
  <si>
    <t>C-EF-Current liabilities (Inc. Def Rev, excl. BANS &amp; Comp Abs</t>
  </si>
  <si>
    <t>TD - auditor</t>
  </si>
  <si>
    <t>TD -Internal</t>
  </si>
  <si>
    <t>total expenditures for FBA Calculation</t>
  </si>
  <si>
    <t>Electric Gross Capital Assets</t>
  </si>
  <si>
    <t xml:space="preserve">                -  </t>
  </si>
  <si>
    <t xml:space="preserve">                         -  </t>
  </si>
  <si>
    <t xml:space="preserve">                   -  </t>
  </si>
  <si>
    <t>Accounts on import but not on Unit Data from Audit Worksheet except 577 which is converted to numeric on import tab.  Another exception is account 620.</t>
  </si>
  <si>
    <t>should total to Unit Data from Audit Worksheet</t>
  </si>
  <si>
    <t>inactive</t>
  </si>
  <si>
    <t>The below accounts will not populated the prior year column on the Unit Data for Audit Worksheet</t>
  </si>
  <si>
    <t xml:space="preserve">Date       </t>
  </si>
  <si>
    <t>Please indicate if you expect your revaluation to increase, decrease, or no change.  If you are not listed please select N/A</t>
  </si>
  <si>
    <t xml:space="preserve">I think this got assigned a unit number in error </t>
  </si>
  <si>
    <t>moved so not to have a blank space in the drop down list</t>
  </si>
  <si>
    <t>I</t>
  </si>
  <si>
    <t>Do you operate a landfill that will be closing  or have a significant portion closing within the next 5 years</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</si>
  <si>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t>
    </r>
    <r>
      <rPr>
        <b/>
        <sz val="12"/>
        <color theme="1"/>
        <rFont val="Calibri"/>
        <family val="2"/>
        <scheme val="minor"/>
      </rPr>
      <t>Note that the 8% only equals one month of expenditures.</t>
    </r>
    <r>
      <rPr>
        <sz val="12"/>
        <color theme="1"/>
        <rFont val="Calibri"/>
        <family val="2"/>
        <scheme val="minor"/>
      </rPr>
      <t xml:space="preserve">  In your Response Letter please provide detail plans on how your unit will improve your available fund balance.  Normally, a unit has to either increasing revenues or decreasing expenditures.  </t>
    </r>
  </si>
  <si>
    <t xml:space="preserve">                                   -  </t>
  </si>
  <si>
    <t xml:space="preserve"> 331+89 </t>
  </si>
  <si>
    <t xml:space="preserve">                                                    -  </t>
  </si>
  <si>
    <t xml:space="preserve">                                         -  </t>
  </si>
  <si>
    <t xml:space="preserve">                      -  </t>
  </si>
  <si>
    <t xml:space="preserve">                                      -  </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</si>
  <si>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</si>
  <si>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</si>
  <si>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</si>
  <si>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</si>
  <si>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</si>
  <si>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</si>
  <si>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</si>
  <si>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</si>
  <si>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</si>
  <si>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</si>
  <si>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</si>
  <si>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</si>
  <si>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</si>
  <si>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</si>
  <si>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</si>
  <si>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</si>
  <si>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</si>
  <si>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</si>
  <si>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</si>
  <si>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</si>
  <si>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</si>
  <si>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</si>
  <si>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</si>
  <si>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</si>
  <si>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Please see the INSTRUCTIONS worksheet before completing this form.</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</si>
  <si>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</si>
  <si>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</si>
  <si>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t>Please do not enter prior's years beginning balance as an adjustment in column F.</t>
  </si>
  <si>
    <t>Formula in cell E250</t>
  </si>
  <si>
    <t>Formula in cell E251</t>
  </si>
  <si>
    <t>Version Dat 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</si>
</sst>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6"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9"/>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0"/>
      <color indexed="8"/>
      <name val="Calibri"/>
      <family val="2"/>
      <scheme val="minor"/>
    </font>
    <font>
      <b/>
      <sz val="10"/>
      <color theme="1"/>
      <name val="Century Schoolbook"/>
      <family val="2"/>
    </font>
    <font>
      <b/>
      <sz val="10"/>
      <color indexed="8"/>
      <name val="Century Schoolbook"/>
      <family val="2"/>
    </font>
    <font>
      <sz val="11"/>
      <color theme="1"/>
      <name val="Calibri"/>
      <family val="2"/>
    </font>
    <font>
      <b/>
      <sz val="11"/>
      <color theme="1"/>
      <name val="Calibri"/>
      <family val="2"/>
    </font>
    <font>
      <b/>
      <sz val="11"/>
      <color theme="1"/>
      <name val="Century Schoolbook"/>
      <family val="1"/>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indexed="64"/>
      </left>
      <right style="thin">
        <color theme="0"/>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0"/>
      </left>
      <right/>
      <top style="thin">
        <color theme="0"/>
      </top>
      <bottom/>
      <diagonal/>
    </border>
    <border>
      <left style="thin">
        <color theme="0"/>
      </left>
      <right style="medium">
        <color indexed="64"/>
      </right>
      <top/>
      <bottom style="medium">
        <color indexed="64"/>
      </bottom>
      <diagonal/>
    </border>
    <border>
      <left style="thin">
        <color theme="0"/>
      </left>
      <right style="medium">
        <color auto="1"/>
      </right>
      <top style="medium">
        <color indexed="64"/>
      </top>
      <bottom style="medium">
        <color indexed="64"/>
      </bottom>
      <diagonal/>
    </border>
    <border>
      <left style="thin">
        <color indexed="64"/>
      </left>
      <right/>
      <top/>
      <bottom style="medium">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70" fillId="0" borderId="0"/>
    <xf numFmtId="0" fontId="70" fillId="0" borderId="0"/>
    <xf numFmtId="0" fontId="69" fillId="0" borderId="0"/>
    <xf numFmtId="0" fontId="70" fillId="0" borderId="0"/>
    <xf numFmtId="0" fontId="70" fillId="0" borderId="0"/>
    <xf numFmtId="0" fontId="71" fillId="0" borderId="0"/>
    <xf numFmtId="0" fontId="7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11"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21" fillId="0" borderId="0"/>
    <xf numFmtId="0" fontId="34" fillId="0" borderId="0"/>
    <xf numFmtId="0" fontId="34" fillId="0" borderId="0"/>
    <xf numFmtId="0" fontId="34" fillId="0" borderId="0"/>
    <xf numFmtId="0" fontId="69"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11" fillId="0" borderId="0"/>
    <xf numFmtId="0" fontId="71" fillId="0" borderId="0"/>
    <xf numFmtId="0" fontId="71" fillId="0" borderId="0"/>
    <xf numFmtId="0" fontId="71" fillId="0" borderId="0"/>
    <xf numFmtId="0" fontId="71"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71" fillId="0" borderId="0"/>
    <xf numFmtId="0" fontId="34" fillId="0" borderId="0"/>
    <xf numFmtId="0" fontId="34" fillId="0" borderId="0"/>
    <xf numFmtId="0" fontId="34" fillId="0" borderId="0"/>
    <xf numFmtId="0" fontId="34"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70"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1"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70"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5" fillId="0" borderId="47" applyNumberFormat="0" applyFill="0" applyAlignment="0" applyProtection="0"/>
    <xf numFmtId="0" fontId="76" fillId="0" borderId="48" applyNumberFormat="0" applyFill="0" applyAlignment="0" applyProtection="0"/>
    <xf numFmtId="0" fontId="77" fillId="0" borderId="49" applyNumberFormat="0" applyFill="0" applyAlignment="0" applyProtection="0"/>
    <xf numFmtId="0" fontId="77" fillId="0" borderId="0" applyNumberFormat="0" applyFill="0" applyBorder="0" applyAlignment="0" applyProtection="0"/>
    <xf numFmtId="0" fontId="78" fillId="37" borderId="0" applyNumberFormat="0" applyBorder="0" applyAlignment="0" applyProtection="0"/>
    <xf numFmtId="0" fontId="79" fillId="38" borderId="0" applyNumberFormat="0" applyBorder="0" applyAlignment="0" applyProtection="0"/>
    <xf numFmtId="0" fontId="80" fillId="40" borderId="50" applyNumberFormat="0" applyAlignment="0" applyProtection="0"/>
    <xf numFmtId="0" fontId="81" fillId="41" borderId="51" applyNumberFormat="0" applyAlignment="0" applyProtection="0"/>
    <xf numFmtId="0" fontId="82" fillId="41" borderId="50" applyNumberFormat="0" applyAlignment="0" applyProtection="0"/>
    <xf numFmtId="0" fontId="83" fillId="0" borderId="52" applyNumberFormat="0" applyFill="0" applyAlignment="0" applyProtection="0"/>
    <xf numFmtId="0" fontId="84" fillId="42" borderId="53" applyNumberFormat="0" applyAlignment="0" applyProtection="0"/>
    <xf numFmtId="0" fontId="72" fillId="0" borderId="0" applyNumberFormat="0" applyFill="0" applyBorder="0" applyAlignment="0" applyProtection="0"/>
    <xf numFmtId="0" fontId="40" fillId="0" borderId="55" applyNumberFormat="0" applyFill="0" applyAlignment="0" applyProtection="0"/>
    <xf numFmtId="0" fontId="85" fillId="44" borderId="0" applyNumberFormat="0" applyBorder="0" applyAlignment="0" applyProtection="0"/>
    <xf numFmtId="0" fontId="85" fillId="45" borderId="0" applyNumberFormat="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4" fillId="39" borderId="0" applyNumberFormat="0" applyBorder="0" applyAlignment="0" applyProtection="0"/>
    <xf numFmtId="0" fontId="34" fillId="43" borderId="54" applyNumberFormat="0" applyFont="0" applyAlignment="0" applyProtection="0"/>
    <xf numFmtId="40" fontId="87" fillId="0" borderId="17">
      <alignment horizontal="right"/>
    </xf>
    <xf numFmtId="0" fontId="88" fillId="0" borderId="0">
      <alignment horizontal="left"/>
    </xf>
    <xf numFmtId="49" fontId="11" fillId="0" borderId="0"/>
    <xf numFmtId="0" fontId="88" fillId="0" borderId="0">
      <alignment horizontal="left"/>
    </xf>
    <xf numFmtId="177" fontId="87" fillId="0" borderId="17">
      <alignment horizontal="right"/>
    </xf>
    <xf numFmtId="49" fontId="87"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6" fillId="50" borderId="0">
      <alignment horizontal="right" vertical="center"/>
    </xf>
    <xf numFmtId="49" fontId="86" fillId="50" borderId="0">
      <alignment horizontal="left" vertical="center"/>
    </xf>
    <xf numFmtId="49" fontId="86" fillId="50" borderId="0">
      <alignment horizontal="center" vertical="center"/>
    </xf>
    <xf numFmtId="49" fontId="86" fillId="50" borderId="0">
      <alignment horizontal="center" vertical="center"/>
    </xf>
    <xf numFmtId="49" fontId="86" fillId="50" borderId="0">
      <alignment horizontal="right" vertical="center"/>
    </xf>
    <xf numFmtId="40" fontId="86" fillId="50" borderId="0">
      <alignment horizontal="right"/>
    </xf>
    <xf numFmtId="49" fontId="86"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6" fillId="50" borderId="0">
      <alignment horizontal="center" vertical="center"/>
    </xf>
    <xf numFmtId="49" fontId="86" fillId="50" borderId="0">
      <alignment horizontal="center" vertical="center"/>
    </xf>
    <xf numFmtId="177" fontId="86" fillId="50" borderId="0">
      <alignment horizontal="center" vertical="center"/>
    </xf>
    <xf numFmtId="49" fontId="86" fillId="50" borderId="0">
      <alignment horizontal="right"/>
    </xf>
    <xf numFmtId="40" fontId="87" fillId="0" borderId="19">
      <alignment horizontal="right"/>
    </xf>
    <xf numFmtId="0" fontId="88" fillId="0" borderId="0">
      <alignment horizontal="left"/>
    </xf>
    <xf numFmtId="49" fontId="11" fillId="0" borderId="0"/>
    <xf numFmtId="0" fontId="88" fillId="0" borderId="0">
      <alignment horizontal="left"/>
    </xf>
    <xf numFmtId="177" fontId="87" fillId="0" borderId="19">
      <alignment horizontal="right"/>
    </xf>
    <xf numFmtId="49" fontId="87" fillId="0" borderId="0">
      <alignment horizontal="right"/>
    </xf>
    <xf numFmtId="49" fontId="11" fillId="0" borderId="0"/>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7" fillId="51" borderId="0">
      <alignment horizontal="center" vertical="center"/>
    </xf>
    <xf numFmtId="49" fontId="11" fillId="51" borderId="0">
      <alignment horizontal="left" vertical="center"/>
    </xf>
    <xf numFmtId="49" fontId="87" fillId="51" borderId="0">
      <alignment horizontal="center" vertical="center"/>
    </xf>
    <xf numFmtId="0" fontId="87" fillId="52" borderId="0">
      <alignment horizontal="left"/>
    </xf>
    <xf numFmtId="49" fontId="11" fillId="0" borderId="0"/>
    <xf numFmtId="0" fontId="87" fillId="52" borderId="0">
      <alignment horizontal="left"/>
    </xf>
    <xf numFmtId="40" fontId="87" fillId="0" borderId="0">
      <alignment horizontal="right"/>
    </xf>
    <xf numFmtId="49" fontId="86" fillId="50" borderId="0"/>
    <xf numFmtId="49" fontId="86" fillId="50" borderId="0"/>
    <xf numFmtId="49" fontId="11" fillId="0" borderId="0"/>
    <xf numFmtId="0" fontId="89" fillId="53" borderId="0" applyFont="0" applyFill="0">
      <alignment horizontal="left" vertical="top" wrapText="1"/>
    </xf>
    <xf numFmtId="40" fontId="89" fillId="0" borderId="0"/>
    <xf numFmtId="40" fontId="89" fillId="0" borderId="0"/>
    <xf numFmtId="0" fontId="89" fillId="0" borderId="0">
      <alignment horizontal="left"/>
    </xf>
    <xf numFmtId="0" fontId="89" fillId="0" borderId="0">
      <alignment horizontal="center"/>
    </xf>
    <xf numFmtId="0" fontId="90" fillId="0" borderId="0">
      <alignment horizontal="center"/>
    </xf>
    <xf numFmtId="0" fontId="91" fillId="50" borderId="0">
      <alignment horizontal="left"/>
    </xf>
    <xf numFmtId="0" fontId="91" fillId="50" borderId="0">
      <alignment horizontal="left"/>
    </xf>
    <xf numFmtId="0" fontId="90" fillId="0" borderId="0">
      <alignment horizontal="center"/>
    </xf>
    <xf numFmtId="40" fontId="92" fillId="0" borderId="18"/>
    <xf numFmtId="40" fontId="92" fillId="0" borderId="18"/>
    <xf numFmtId="0" fontId="92" fillId="0" borderId="0"/>
    <xf numFmtId="0" fontId="92" fillId="0" borderId="0"/>
    <xf numFmtId="0" fontId="90" fillId="0" borderId="0">
      <alignment horizontal="center"/>
    </xf>
    <xf numFmtId="0" fontId="93" fillId="54" borderId="0">
      <alignment horizontal="left"/>
    </xf>
    <xf numFmtId="0" fontId="93" fillId="54" borderId="0">
      <alignment horizontal="left"/>
    </xf>
    <xf numFmtId="40" fontId="87" fillId="0" borderId="0">
      <alignment horizontal="right"/>
    </xf>
    <xf numFmtId="0" fontId="88" fillId="0" borderId="0">
      <alignment horizontal="left"/>
    </xf>
    <xf numFmtId="49" fontId="11" fillId="0" borderId="0"/>
    <xf numFmtId="0" fontId="88" fillId="0" borderId="0">
      <alignment horizontal="left"/>
    </xf>
    <xf numFmtId="177" fontId="87" fillId="0" borderId="0">
      <alignment horizontal="right"/>
    </xf>
    <xf numFmtId="49" fontId="87" fillId="0" borderId="0" applyBorder="0">
      <alignment horizontal="right"/>
    </xf>
    <xf numFmtId="0" fontId="11" fillId="0" borderId="0"/>
    <xf numFmtId="49" fontId="95" fillId="53" borderId="0">
      <alignment horizontal="left"/>
    </xf>
    <xf numFmtId="49" fontId="95" fillId="53" borderId="0">
      <alignment horizontal="left"/>
    </xf>
    <xf numFmtId="0" fontId="96" fillId="53" borderId="0">
      <alignment horizontal="left"/>
    </xf>
    <xf numFmtId="178" fontId="96" fillId="53" borderId="0">
      <alignment horizontal="left"/>
    </xf>
    <xf numFmtId="40" fontId="87" fillId="0" borderId="0">
      <alignment horizontal="right"/>
    </xf>
    <xf numFmtId="49" fontId="97" fillId="53" borderId="0">
      <alignment horizontal="left"/>
    </xf>
    <xf numFmtId="49" fontId="97" fillId="53" borderId="0">
      <alignment horizontal="left"/>
    </xf>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0" fontId="87" fillId="0" borderId="14">
      <alignment horizontal="right"/>
    </xf>
    <xf numFmtId="0" fontId="87" fillId="52" borderId="0">
      <alignment horizontal="left"/>
    </xf>
    <xf numFmtId="49" fontId="11" fillId="0" borderId="0"/>
    <xf numFmtId="0" fontId="87" fillId="52" borderId="0">
      <alignment horizontal="left"/>
    </xf>
    <xf numFmtId="177" fontId="87" fillId="0" borderId="14">
      <alignment horizontal="right"/>
    </xf>
    <xf numFmtId="49" fontId="87" fillId="0" borderId="0">
      <alignment horizontal="right"/>
    </xf>
    <xf numFmtId="0" fontId="92" fillId="0" borderId="0"/>
    <xf numFmtId="40" fontId="89" fillId="0" borderId="18"/>
    <xf numFmtId="40" fontId="89" fillId="0" borderId="18"/>
    <xf numFmtId="0" fontId="89" fillId="0" borderId="0"/>
    <xf numFmtId="0" fontId="89" fillId="0" borderId="0"/>
    <xf numFmtId="40" fontId="89" fillId="0" borderId="0"/>
    <xf numFmtId="179" fontId="89" fillId="0" borderId="0"/>
    <xf numFmtId="40" fontId="89" fillId="0" borderId="0"/>
    <xf numFmtId="0" fontId="89" fillId="0" borderId="0"/>
    <xf numFmtId="0" fontId="89" fillId="0" borderId="0"/>
    <xf numFmtId="40" fontId="87" fillId="0" borderId="18">
      <alignment horizontal="right"/>
    </xf>
    <xf numFmtId="49" fontId="87" fillId="0" borderId="0">
      <alignment horizontal="left"/>
    </xf>
    <xf numFmtId="49" fontId="11" fillId="0" borderId="0"/>
    <xf numFmtId="49" fontId="87" fillId="0" borderId="0">
      <alignment horizontal="left"/>
    </xf>
    <xf numFmtId="177" fontId="87" fillId="0" borderId="18">
      <alignment horizontal="right"/>
    </xf>
    <xf numFmtId="49" fontId="87"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8"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5" fillId="57" borderId="0" applyNumberFormat="0" applyBorder="0" applyAlignment="0" applyProtection="0"/>
    <xf numFmtId="0" fontId="99" fillId="57" borderId="0" applyNumberFormat="0" applyBorder="0" applyAlignment="0" applyProtection="0"/>
    <xf numFmtId="0" fontId="85" fillId="60" borderId="0" applyNumberFormat="0" applyBorder="0" applyAlignment="0" applyProtection="0"/>
    <xf numFmtId="0" fontId="99" fillId="60" borderId="0" applyNumberFormat="0" applyBorder="0" applyAlignment="0" applyProtection="0"/>
    <xf numFmtId="0" fontId="85" fillId="63" borderId="0" applyNumberFormat="0" applyBorder="0" applyAlignment="0" applyProtection="0"/>
    <xf numFmtId="0" fontId="99" fillId="63" borderId="0" applyNumberFormat="0" applyBorder="0" applyAlignment="0" applyProtection="0"/>
    <xf numFmtId="0" fontId="85" fillId="66" borderId="0" applyNumberFormat="0" applyBorder="0" applyAlignment="0" applyProtection="0"/>
    <xf numFmtId="0" fontId="99" fillId="66" borderId="0" applyNumberFormat="0" applyBorder="0" applyAlignment="0" applyProtection="0"/>
    <xf numFmtId="0" fontId="85" fillId="69" borderId="0" applyNumberFormat="0" applyBorder="0" applyAlignment="0" applyProtection="0"/>
    <xf numFmtId="0" fontId="99" fillId="69" borderId="0" applyNumberFormat="0" applyBorder="0" applyAlignment="0" applyProtection="0"/>
    <xf numFmtId="0" fontId="85" fillId="72" borderId="0" applyNumberFormat="0" applyBorder="0" applyAlignment="0" applyProtection="0"/>
    <xf numFmtId="0" fontId="99" fillId="72" borderId="0" applyNumberFormat="0" applyBorder="0" applyAlignment="0" applyProtection="0"/>
    <xf numFmtId="0" fontId="99" fillId="44"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45"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49" borderId="0" applyNumberFormat="0" applyBorder="0" applyAlignment="0" applyProtection="0"/>
    <xf numFmtId="0" fontId="100" fillId="38" borderId="0" applyNumberFormat="0" applyBorder="0" applyAlignment="0" applyProtection="0"/>
    <xf numFmtId="0" fontId="101" fillId="41" borderId="50" applyNumberFormat="0" applyAlignment="0" applyProtection="0"/>
    <xf numFmtId="0" fontId="102"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3" fillId="0" borderId="0" applyNumberFormat="0" applyFill="0" applyBorder="0" applyAlignment="0" applyProtection="0"/>
    <xf numFmtId="0" fontId="104" fillId="37" borderId="0" applyNumberFormat="0" applyBorder="0" applyAlignment="0" applyProtection="0"/>
    <xf numFmtId="0" fontId="105" fillId="0" borderId="47" applyNumberFormat="0" applyFill="0" applyAlignment="0" applyProtection="0"/>
    <xf numFmtId="0" fontId="106"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8" fillId="40" borderId="50" applyNumberFormat="0" applyAlignment="0" applyProtection="0"/>
    <xf numFmtId="0" fontId="109" fillId="0" borderId="52" applyNumberFormat="0" applyFill="0" applyAlignment="0" applyProtection="0"/>
    <xf numFmtId="0" fontId="110"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1" fillId="41" borderId="51" applyNumberFormat="0" applyAlignment="0" applyProtection="0"/>
    <xf numFmtId="9" fontId="6" fillId="0" borderId="0" applyFont="0" applyFill="0" applyBorder="0" applyAlignment="0" applyProtection="0"/>
    <xf numFmtId="0" fontId="112" fillId="0" borderId="0" applyNumberFormat="0" applyFill="0" applyBorder="0" applyAlignment="0" applyProtection="0"/>
    <xf numFmtId="0" fontId="113" fillId="0" borderId="55" applyNumberFormat="0" applyFill="0" applyAlignment="0" applyProtection="0"/>
    <xf numFmtId="0" fontId="114"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8" fillId="0" borderId="0"/>
    <xf numFmtId="0" fontId="11" fillId="0" borderId="0"/>
    <xf numFmtId="0" fontId="11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9" fillId="0" borderId="0"/>
    <xf numFmtId="43" fontId="117" fillId="0" borderId="0" applyFont="0" applyFill="0" applyBorder="0" applyAlignment="0" applyProtection="0"/>
    <xf numFmtId="0" fontId="117" fillId="0" borderId="0"/>
    <xf numFmtId="0" fontId="154" fillId="0" borderId="0"/>
    <xf numFmtId="0" fontId="34" fillId="0" borderId="0"/>
    <xf numFmtId="0" fontId="154" fillId="0" borderId="0"/>
    <xf numFmtId="43" fontId="117" fillId="0" borderId="0" applyFont="0" applyFill="0" applyBorder="0" applyAlignment="0" applyProtection="0"/>
    <xf numFmtId="0" fontId="117" fillId="0" borderId="0"/>
    <xf numFmtId="0" fontId="117" fillId="0" borderId="0"/>
    <xf numFmtId="0" fontId="117" fillId="0" borderId="0"/>
    <xf numFmtId="0" fontId="157" fillId="0" borderId="0"/>
    <xf numFmtId="0" fontId="157" fillId="0" borderId="0"/>
    <xf numFmtId="0" fontId="158" fillId="0" borderId="0"/>
    <xf numFmtId="0" fontId="157" fillId="0" borderId="0"/>
    <xf numFmtId="0" fontId="154" fillId="0" borderId="0"/>
    <xf numFmtId="0" fontId="157"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7" fillId="0" borderId="0"/>
    <xf numFmtId="0" fontId="154" fillId="0" borderId="0"/>
    <xf numFmtId="0" fontId="154" fillId="0" borderId="0"/>
    <xf numFmtId="0" fontId="157" fillId="0" borderId="0"/>
    <xf numFmtId="0" fontId="154" fillId="0" borderId="0"/>
    <xf numFmtId="0" fontId="154"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4" fillId="0" borderId="0"/>
    <xf numFmtId="0" fontId="158" fillId="0" borderId="0"/>
    <xf numFmtId="0" fontId="154"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9"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7" fillId="0" borderId="0"/>
    <xf numFmtId="43" fontId="117" fillId="0" borderId="0" applyFont="0" applyFill="0" applyBorder="0" applyAlignment="0" applyProtection="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34" fillId="0" borderId="0"/>
    <xf numFmtId="0" fontId="34" fillId="0" borderId="0"/>
  </cellStyleXfs>
  <cellXfs count="1346">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60"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1" fillId="0" borderId="25" xfId="0" applyNumberFormat="1" applyFont="1" applyFill="1" applyBorder="1" applyAlignment="1" applyProtection="1">
      <alignment horizontal="center" vertical="center"/>
    </xf>
    <xf numFmtId="0" fontId="62"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60"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60" fillId="0" borderId="0" xfId="0" applyFont="1" applyProtection="1"/>
    <xf numFmtId="0" fontId="60" fillId="23" borderId="23" xfId="0" applyNumberFormat="1" applyFont="1" applyFill="1" applyBorder="1" applyAlignment="1" applyProtection="1">
      <alignment horizontal="left" vertical="center" wrapText="1"/>
    </xf>
    <xf numFmtId="0" fontId="60"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60"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3"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4"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60"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5"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60" fillId="0" borderId="29" xfId="439" applyNumberFormat="1" applyFont="1" applyFill="1" applyBorder="1" applyAlignment="1" applyProtection="1">
      <alignment horizontal="center" vertical="center" wrapText="1"/>
    </xf>
    <xf numFmtId="39" fontId="60"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4"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60"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7" fillId="0" borderId="0" xfId="0" applyNumberFormat="1" applyFont="1" applyFill="1" applyAlignment="1" applyProtection="1">
      <alignment wrapText="1"/>
    </xf>
    <xf numFmtId="0" fontId="66"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60"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60" fillId="29" borderId="23" xfId="439" applyNumberFormat="1" applyFont="1" applyFill="1" applyBorder="1" applyAlignment="1" applyProtection="1">
      <alignment horizontal="center" vertical="center" wrapText="1"/>
      <protection locked="0"/>
    </xf>
    <xf numFmtId="37" fontId="61"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1"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60"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60"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60" fillId="0" borderId="29" xfId="439" applyNumberFormat="1" applyFont="1" applyFill="1" applyBorder="1" applyAlignment="1" applyProtection="1">
      <alignment horizontal="center" vertical="center" wrapText="1"/>
    </xf>
    <xf numFmtId="172" fontId="60"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60" fillId="29" borderId="44" xfId="439" applyNumberFormat="1" applyFont="1" applyFill="1" applyBorder="1" applyAlignment="1" applyProtection="1">
      <alignment horizontal="center" vertical="center" wrapText="1"/>
      <protection locked="0"/>
    </xf>
    <xf numFmtId="164" fontId="60" fillId="0" borderId="30" xfId="439" applyNumberFormat="1" applyFont="1" applyFill="1" applyBorder="1" applyAlignment="1" applyProtection="1">
      <alignment horizontal="center" vertical="center" wrapText="1"/>
    </xf>
    <xf numFmtId="39" fontId="60" fillId="0" borderId="27" xfId="439" applyNumberFormat="1" applyFont="1" applyFill="1" applyBorder="1" applyAlignment="1" applyProtection="1">
      <alignment horizontal="center" vertical="center" wrapText="1"/>
    </xf>
    <xf numFmtId="164" fontId="60"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60" fillId="29" borderId="45" xfId="439" applyNumberFormat="1" applyFont="1" applyFill="1" applyBorder="1" applyAlignment="1" applyProtection="1">
      <alignment horizontal="center" vertical="center" wrapText="1"/>
      <protection locked="0"/>
    </xf>
    <xf numFmtId="0" fontId="60" fillId="0" borderId="30" xfId="0" applyNumberFormat="1" applyFont="1" applyFill="1" applyBorder="1" applyAlignment="1" applyProtection="1">
      <alignment horizontal="left" vertical="center" wrapText="1"/>
    </xf>
    <xf numFmtId="0" fontId="60" fillId="23" borderId="31" xfId="0" applyNumberFormat="1" applyFont="1" applyFill="1" applyBorder="1" applyAlignment="1" applyProtection="1">
      <alignment horizontal="left" vertical="center" wrapText="1"/>
    </xf>
    <xf numFmtId="0" fontId="60"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2" fillId="0" borderId="0" xfId="0" applyNumberFormat="1" applyFont="1" applyFill="1" applyAlignment="1" applyProtection="1">
      <alignment horizontal="left" vertical="center" wrapText="1" indent="6"/>
    </xf>
    <xf numFmtId="0" fontId="60"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8" fillId="0" borderId="0" xfId="0" applyNumberFormat="1" applyFont="1" applyFill="1" applyAlignment="1" applyProtection="1">
      <alignment wrapText="1"/>
    </xf>
    <xf numFmtId="14" fontId="60"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60" fillId="22" borderId="23" xfId="439" applyNumberFormat="1" applyFont="1" applyFill="1" applyBorder="1" applyAlignment="1" applyProtection="1">
      <alignment horizontal="center" vertical="center" wrapText="1"/>
      <protection locked="0"/>
    </xf>
    <xf numFmtId="39" fontId="60" fillId="22" borderId="28" xfId="439" applyNumberFormat="1" applyFont="1" applyFill="1" applyBorder="1" applyAlignment="1" applyProtection="1">
      <alignment horizontal="center" vertical="center" wrapText="1"/>
    </xf>
    <xf numFmtId="164" fontId="60" fillId="22" borderId="29" xfId="439" applyNumberFormat="1" applyFont="1" applyFill="1" applyBorder="1" applyAlignment="1" applyProtection="1">
      <alignment horizontal="center" vertical="center" wrapText="1"/>
    </xf>
    <xf numFmtId="164" fontId="60"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60" fillId="22" borderId="30" xfId="439" applyNumberFormat="1" applyFont="1" applyFill="1" applyBorder="1" applyAlignment="1" applyProtection="1">
      <alignment horizontal="center" vertical="center" wrapText="1"/>
    </xf>
    <xf numFmtId="175" fontId="60" fillId="75" borderId="23" xfId="439" applyNumberFormat="1" applyFont="1" applyFill="1" applyBorder="1" applyAlignment="1" applyProtection="1">
      <alignment horizontal="center" vertical="center" wrapText="1"/>
    </xf>
    <xf numFmtId="3" fontId="60" fillId="0" borderId="23" xfId="439" applyNumberFormat="1" applyFont="1" applyFill="1" applyBorder="1" applyAlignment="1" applyProtection="1">
      <alignment horizontal="center" vertical="center" wrapText="1"/>
      <protection locked="0"/>
    </xf>
    <xf numFmtId="180" fontId="60" fillId="75" borderId="23" xfId="439" applyNumberFormat="1" applyFont="1" applyFill="1" applyBorder="1" applyAlignment="1" applyProtection="1">
      <alignment horizontal="center" vertical="center" wrapText="1"/>
    </xf>
    <xf numFmtId="39" fontId="60" fillId="0" borderId="23" xfId="439" applyNumberFormat="1" applyFont="1" applyFill="1" applyBorder="1" applyAlignment="1" applyProtection="1">
      <alignment horizontal="center" vertical="center" wrapText="1"/>
    </xf>
    <xf numFmtId="3" fontId="60" fillId="0" borderId="31" xfId="439" applyNumberFormat="1" applyFont="1" applyFill="1" applyBorder="1" applyAlignment="1" applyProtection="1">
      <alignment horizontal="center" vertical="center" wrapText="1"/>
    </xf>
    <xf numFmtId="3" fontId="60" fillId="23" borderId="31" xfId="439" applyNumberFormat="1" applyFont="1" applyFill="1" applyBorder="1" applyAlignment="1" applyProtection="1">
      <alignment horizontal="center" vertical="center" wrapText="1"/>
    </xf>
    <xf numFmtId="3" fontId="60" fillId="23" borderId="23" xfId="439" applyNumberFormat="1" applyFont="1" applyFill="1" applyBorder="1" applyAlignment="1" applyProtection="1">
      <alignment horizontal="center" vertical="center" wrapText="1"/>
    </xf>
    <xf numFmtId="3" fontId="60" fillId="0" borderId="30" xfId="439" applyNumberFormat="1" applyFont="1" applyFill="1" applyBorder="1" applyAlignment="1" applyProtection="1">
      <alignment horizontal="center" vertical="center" wrapText="1"/>
    </xf>
    <xf numFmtId="37" fontId="60"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6"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4" fillId="22" borderId="0" xfId="0" applyFont="1" applyFill="1" applyProtection="1"/>
    <xf numFmtId="0" fontId="121" fillId="22" borderId="0" xfId="0" applyFont="1" applyFill="1" applyProtection="1"/>
    <xf numFmtId="0" fontId="85" fillId="22" borderId="0" xfId="0" applyFont="1" applyFill="1" applyAlignment="1" applyProtection="1">
      <alignment vertical="center" wrapText="1"/>
    </xf>
    <xf numFmtId="0" fontId="85" fillId="22" borderId="0" xfId="0" applyFont="1" applyFill="1" applyAlignment="1" applyProtection="1">
      <alignment vertical="center"/>
      <protection locked="0"/>
    </xf>
    <xf numFmtId="0" fontId="85" fillId="22" borderId="0" xfId="0" applyFont="1" applyFill="1" applyAlignment="1" applyProtection="1">
      <alignment vertical="center"/>
    </xf>
    <xf numFmtId="0" fontId="0" fillId="0" borderId="0" xfId="0" applyAlignment="1">
      <alignment horizontal="center"/>
    </xf>
    <xf numFmtId="0" fontId="85"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60" fillId="75" borderId="29" xfId="439" applyNumberFormat="1" applyFont="1" applyFill="1" applyBorder="1" applyAlignment="1" applyProtection="1">
      <alignment horizontal="center" vertical="center" wrapText="1"/>
    </xf>
    <xf numFmtId="0" fontId="40" fillId="74" borderId="63" xfId="0" applyNumberFormat="1" applyFont="1" applyFill="1" applyBorder="1" applyAlignment="1" applyProtection="1">
      <alignment horizontal="center" vertical="center"/>
    </xf>
    <xf numFmtId="0" fontId="0" fillId="73" borderId="0" xfId="0" applyFill="1"/>
    <xf numFmtId="0" fontId="122" fillId="73" borderId="0" xfId="0" applyFont="1" applyFill="1" applyAlignment="1">
      <alignment vertical="center" wrapText="1"/>
    </xf>
    <xf numFmtId="0" fontId="48" fillId="73" borderId="0" xfId="0" applyFont="1" applyFill="1" applyAlignment="1">
      <alignment horizontal="justify" vertical="center"/>
    </xf>
    <xf numFmtId="0" fontId="127" fillId="77" borderId="0" xfId="0" applyFont="1" applyFill="1" applyAlignment="1">
      <alignment vertical="center"/>
    </xf>
    <xf numFmtId="0" fontId="64" fillId="0" borderId="45" xfId="0" applyFont="1" applyFill="1" applyBorder="1" applyAlignment="1" applyProtection="1">
      <alignment horizontal="center" vertical="center" wrapText="1"/>
    </xf>
    <xf numFmtId="0" fontId="64" fillId="32" borderId="45" xfId="0" applyFont="1" applyFill="1" applyBorder="1" applyAlignment="1" applyProtection="1">
      <alignment horizontal="center" vertical="center" wrapText="1"/>
    </xf>
    <xf numFmtId="0" fontId="60" fillId="31" borderId="25" xfId="0" applyNumberFormat="1" applyFont="1" applyFill="1" applyBorder="1" applyAlignment="1" applyProtection="1">
      <alignment horizontal="left" vertical="center" wrapText="1"/>
    </xf>
    <xf numFmtId="0" fontId="42" fillId="31" borderId="65" xfId="0" applyFont="1" applyFill="1" applyBorder="1" applyAlignment="1">
      <alignment wrapText="1"/>
    </xf>
    <xf numFmtId="14" fontId="42" fillId="31" borderId="65" xfId="0" applyNumberFormat="1" applyFont="1" applyFill="1" applyBorder="1" applyAlignment="1">
      <alignment wrapText="1"/>
    </xf>
    <xf numFmtId="0" fontId="40" fillId="31" borderId="63" xfId="0" applyNumberFormat="1" applyFont="1" applyFill="1" applyBorder="1" applyAlignment="1" applyProtection="1">
      <alignment horizontal="center" vertical="center"/>
    </xf>
    <xf numFmtId="49" fontId="60" fillId="0" borderId="23" xfId="439" applyNumberFormat="1" applyFont="1" applyFill="1" applyBorder="1" applyAlignment="1" applyProtection="1">
      <alignment horizontal="center" vertical="center" wrapText="1"/>
    </xf>
    <xf numFmtId="0" fontId="123" fillId="73" borderId="0" xfId="0" applyFont="1" applyFill="1" applyAlignment="1">
      <alignment horizontal="left" vertical="center" wrapText="1"/>
    </xf>
    <xf numFmtId="0" fontId="34" fillId="73" borderId="0" xfId="30098" applyFill="1"/>
    <xf numFmtId="0" fontId="126" fillId="77" borderId="0" xfId="30098" applyFont="1" applyFill="1" applyAlignment="1">
      <alignment horizontal="center" vertical="center" wrapText="1"/>
    </xf>
    <xf numFmtId="0" fontId="122" fillId="73" borderId="0" xfId="30098" applyFont="1" applyFill="1" applyAlignment="1">
      <alignment vertical="center" wrapText="1"/>
    </xf>
    <xf numFmtId="0" fontId="48" fillId="73" borderId="0" xfId="30098" applyFont="1" applyFill="1" applyAlignment="1">
      <alignment vertical="center" wrapText="1"/>
    </xf>
    <xf numFmtId="0" fontId="127" fillId="77" borderId="0" xfId="30098" applyFont="1" applyFill="1" applyAlignment="1">
      <alignment vertical="center"/>
    </xf>
    <xf numFmtId="0" fontId="130" fillId="0" borderId="0" xfId="30099" applyFont="1" applyAlignment="1">
      <alignment horizontal="left" vertical="top"/>
    </xf>
    <xf numFmtId="0" fontId="132" fillId="0" borderId="0" xfId="30099" applyFont="1" applyAlignment="1">
      <alignment horizontal="left" vertical="top"/>
    </xf>
    <xf numFmtId="0" fontId="130" fillId="36" borderId="0" xfId="30099" applyFont="1" applyFill="1" applyAlignment="1">
      <alignment horizontal="left" vertical="top"/>
    </xf>
    <xf numFmtId="0" fontId="132" fillId="0" borderId="0" xfId="30099" applyFont="1" applyAlignment="1">
      <alignment vertical="top"/>
    </xf>
    <xf numFmtId="0" fontId="130" fillId="0" borderId="0" xfId="30099" applyFont="1" applyAlignment="1">
      <alignment vertical="top"/>
    </xf>
    <xf numFmtId="0" fontId="132" fillId="79" borderId="13" xfId="30099" applyFont="1" applyFill="1" applyBorder="1" applyAlignment="1">
      <alignment horizontal="left" vertical="top"/>
    </xf>
    <xf numFmtId="0" fontId="132" fillId="79" borderId="16" xfId="30099" applyFont="1" applyFill="1" applyBorder="1" applyAlignment="1">
      <alignment horizontal="left" vertical="top"/>
    </xf>
    <xf numFmtId="164" fontId="137" fillId="79" borderId="16" xfId="30100" applyNumberFormat="1" applyFont="1" applyFill="1" applyBorder="1" applyAlignment="1">
      <alignment vertical="center"/>
    </xf>
    <xf numFmtId="0" fontId="138" fillId="79" borderId="16" xfId="30099" applyFont="1" applyFill="1" applyBorder="1" applyAlignment="1">
      <alignment vertical="center" wrapText="1"/>
    </xf>
    <xf numFmtId="0" fontId="138" fillId="79" borderId="16" xfId="30099" applyFont="1" applyFill="1" applyBorder="1" applyAlignment="1">
      <alignment vertical="center"/>
    </xf>
    <xf numFmtId="0" fontId="130" fillId="79" borderId="11" xfId="30099" applyFont="1" applyFill="1" applyBorder="1" applyAlignment="1">
      <alignment horizontal="left" vertical="top" wrapText="1"/>
    </xf>
    <xf numFmtId="0" fontId="139" fillId="0" borderId="0" xfId="30099" applyFont="1" applyAlignment="1">
      <alignment horizontal="left" vertical="top"/>
    </xf>
    <xf numFmtId="0" fontId="139" fillId="26" borderId="15" xfId="30099" applyFont="1" applyFill="1" applyBorder="1" applyAlignment="1">
      <alignment horizontal="left" vertical="top"/>
    </xf>
    <xf numFmtId="0" fontId="139" fillId="26" borderId="0" xfId="30099" applyFont="1" applyFill="1" applyAlignment="1">
      <alignment horizontal="left" vertical="top"/>
    </xf>
    <xf numFmtId="0" fontId="130" fillId="26" borderId="0" xfId="30099" applyFont="1" applyFill="1" applyAlignment="1">
      <alignment horizontal="left" vertical="top" wrapText="1"/>
    </xf>
    <xf numFmtId="0" fontId="139" fillId="26" borderId="0" xfId="30099" applyFont="1" applyFill="1" applyAlignment="1">
      <alignment horizontal="left" vertical="center"/>
    </xf>
    <xf numFmtId="0" fontId="139" fillId="26" borderId="60" xfId="30099" applyFont="1" applyFill="1" applyBorder="1" applyAlignment="1">
      <alignment horizontal="left" vertical="top" wrapText="1"/>
    </xf>
    <xf numFmtId="0" fontId="130" fillId="26" borderId="15" xfId="30099" applyFont="1" applyFill="1" applyBorder="1" applyAlignment="1">
      <alignment horizontal="left" vertical="top"/>
    </xf>
    <xf numFmtId="0" fontId="130" fillId="26" borderId="0" xfId="30099" applyFont="1" applyFill="1" applyAlignment="1">
      <alignment horizontal="left" vertical="top"/>
    </xf>
    <xf numFmtId="0" fontId="130" fillId="26" borderId="60" xfId="30099" applyFont="1" applyFill="1" applyBorder="1" applyAlignment="1">
      <alignment horizontal="left" vertical="top" wrapText="1"/>
    </xf>
    <xf numFmtId="0" fontId="142" fillId="26" borderId="0" xfId="30099" applyFont="1" applyFill="1" applyAlignment="1">
      <alignment horizontal="left" vertical="top"/>
    </xf>
    <xf numFmtId="0" fontId="130" fillId="26" borderId="0" xfId="30099" applyFont="1" applyFill="1" applyAlignment="1">
      <alignment horizontal="left" vertical="center"/>
    </xf>
    <xf numFmtId="14" fontId="130" fillId="0" borderId="69" xfId="30099" applyNumberFormat="1" applyFont="1" applyBorder="1" applyAlignment="1" applyProtection="1">
      <alignment horizontal="center" vertical="center"/>
      <protection locked="0"/>
    </xf>
    <xf numFmtId="0" fontId="130" fillId="26" borderId="0" xfId="30099" applyFont="1" applyFill="1" applyAlignment="1">
      <alignment horizontal="left" vertical="center" wrapText="1"/>
    </xf>
    <xf numFmtId="0" fontId="130" fillId="0" borderId="69" xfId="30099" applyFont="1" applyBorder="1" applyAlignment="1" applyProtection="1">
      <alignment horizontal="center" vertical="center"/>
      <protection locked="0"/>
    </xf>
    <xf numFmtId="0" fontId="146" fillId="26" borderId="0" xfId="30099" applyFont="1" applyFill="1" applyAlignment="1">
      <alignment horizontal="center" vertical="center" wrapText="1"/>
    </xf>
    <xf numFmtId="0" fontId="130" fillId="0" borderId="57" xfId="30099" applyFont="1" applyBorder="1" applyAlignment="1" applyProtection="1">
      <alignment horizontal="center" vertical="center"/>
      <protection locked="0"/>
    </xf>
    <xf numFmtId="0" fontId="130" fillId="26" borderId="0" xfId="30099" applyFont="1" applyFill="1" applyAlignment="1">
      <alignment horizontal="center" vertical="center"/>
    </xf>
    <xf numFmtId="0" fontId="147" fillId="26" borderId="0" xfId="30099" applyFont="1" applyFill="1" applyAlignment="1">
      <alignment horizontal="left" vertical="top" wrapText="1"/>
    </xf>
    <xf numFmtId="0" fontId="147" fillId="0" borderId="57" xfId="30099" applyFont="1" applyBorder="1" applyAlignment="1" applyProtection="1">
      <alignment horizontal="center" vertical="center" wrapText="1"/>
      <protection locked="0"/>
    </xf>
    <xf numFmtId="0" fontId="132" fillId="0" borderId="0" xfId="30099" applyFont="1" applyAlignment="1">
      <alignment horizontal="left"/>
    </xf>
    <xf numFmtId="0" fontId="131" fillId="0" borderId="69" xfId="30099" applyFont="1" applyBorder="1" applyAlignment="1" applyProtection="1">
      <alignment horizontal="center" vertical="center"/>
      <protection locked="0"/>
    </xf>
    <xf numFmtId="0" fontId="130" fillId="26" borderId="0" xfId="30099" applyFont="1" applyFill="1" applyAlignment="1">
      <alignment vertical="top" wrapText="1"/>
    </xf>
    <xf numFmtId="0" fontId="130" fillId="26" borderId="60" xfId="30099" applyFont="1" applyFill="1" applyBorder="1" applyAlignment="1">
      <alignment vertical="top" wrapText="1"/>
    </xf>
    <xf numFmtId="0" fontId="134" fillId="26" borderId="0" xfId="30099" applyFont="1" applyFill="1" applyAlignment="1">
      <alignment horizontal="left" vertical="top"/>
    </xf>
    <xf numFmtId="0" fontId="142" fillId="26" borderId="0" xfId="30099" applyFont="1" applyFill="1" applyAlignment="1">
      <alignment horizontal="left" vertical="top" wrapText="1"/>
    </xf>
    <xf numFmtId="0" fontId="130" fillId="26" borderId="15" xfId="30099" applyFont="1" applyFill="1" applyBorder="1" applyAlignment="1">
      <alignment horizontal="left"/>
    </xf>
    <xf numFmtId="0" fontId="130" fillId="26" borderId="0" xfId="30099" applyFont="1" applyFill="1" applyAlignment="1">
      <alignment horizontal="left"/>
    </xf>
    <xf numFmtId="0" fontId="130" fillId="26" borderId="0" xfId="30099" applyFont="1" applyFill="1" applyAlignment="1">
      <alignment vertical="center" wrapText="1"/>
    </xf>
    <xf numFmtId="0" fontId="142" fillId="26" borderId="0" xfId="30099" applyFont="1" applyFill="1" applyAlignment="1">
      <alignment vertical="center" wrapText="1"/>
    </xf>
    <xf numFmtId="0" fontId="130" fillId="0" borderId="0" xfId="30099" applyFont="1" applyAlignment="1">
      <alignment horizontal="left"/>
    </xf>
    <xf numFmtId="0" fontId="136" fillId="26" borderId="0" xfId="30099" applyFont="1" applyFill="1" applyAlignment="1">
      <alignment horizontal="left"/>
    </xf>
    <xf numFmtId="0" fontId="136" fillId="26" borderId="0" xfId="30099" applyFont="1" applyFill="1" applyAlignment="1">
      <alignment horizontal="right" vertical="center"/>
    </xf>
    <xf numFmtId="0" fontId="136" fillId="26" borderId="0" xfId="30099" applyFont="1" applyFill="1" applyAlignment="1">
      <alignment horizontal="right"/>
    </xf>
    <xf numFmtId="0" fontId="130" fillId="26" borderId="0" xfId="30099" applyFont="1" applyFill="1" applyAlignment="1">
      <alignment horizontal="right" vertical="center" wrapText="1"/>
    </xf>
    <xf numFmtId="14" fontId="130" fillId="26" borderId="0" xfId="30099" applyNumberFormat="1" applyFont="1" applyFill="1" applyAlignment="1">
      <alignment horizontal="left" vertical="center"/>
    </xf>
    <xf numFmtId="0" fontId="151" fillId="79" borderId="0" xfId="30099" applyFont="1" applyFill="1" applyAlignment="1">
      <alignment vertical="center"/>
    </xf>
    <xf numFmtId="0" fontId="151" fillId="79" borderId="0" xfId="30099" applyFont="1" applyFill="1" applyAlignment="1">
      <alignment horizontal="left" vertical="center"/>
    </xf>
    <xf numFmtId="0" fontId="142" fillId="26" borderId="0" xfId="30099" applyFont="1" applyFill="1" applyAlignment="1">
      <alignment horizontal="left" vertical="center" wrapText="1"/>
    </xf>
    <xf numFmtId="0" fontId="142" fillId="26" borderId="60" xfId="30099" applyFont="1" applyFill="1" applyBorder="1" applyAlignment="1">
      <alignment vertical="top" wrapText="1"/>
    </xf>
    <xf numFmtId="0" fontId="130" fillId="26" borderId="40" xfId="30099" applyFont="1" applyFill="1" applyBorder="1" applyAlignment="1">
      <alignment horizontal="left" vertical="top"/>
    </xf>
    <xf numFmtId="0" fontId="130" fillId="26" borderId="41" xfId="30099" applyFont="1" applyFill="1" applyBorder="1" applyAlignment="1">
      <alignment horizontal="left" vertical="top"/>
    </xf>
    <xf numFmtId="0" fontId="130" fillId="26" borderId="41" xfId="30099" applyFont="1" applyFill="1" applyBorder="1" applyAlignment="1">
      <alignment horizontal="right" vertical="center" wrapText="1"/>
    </xf>
    <xf numFmtId="0" fontId="130" fillId="26" borderId="41" xfId="30099" applyFont="1" applyFill="1" applyBorder="1" applyAlignment="1">
      <alignment horizontal="left" vertical="center"/>
    </xf>
    <xf numFmtId="0" fontId="130" fillId="26" borderId="42" xfId="30099" applyFont="1" applyFill="1" applyBorder="1" applyAlignment="1">
      <alignment horizontal="left" vertical="top" wrapText="1"/>
    </xf>
    <xf numFmtId="0" fontId="130" fillId="0" borderId="0" xfId="30099" applyFont="1" applyAlignment="1">
      <alignment horizontal="left" vertical="top" wrapText="1"/>
    </xf>
    <xf numFmtId="2" fontId="130" fillId="0" borderId="0" xfId="30099" applyNumberFormat="1" applyFont="1" applyAlignment="1">
      <alignment horizontal="left" vertical="top"/>
    </xf>
    <xf numFmtId="0" fontId="130" fillId="0" borderId="0" xfId="30099" applyFont="1" applyAlignment="1">
      <alignment horizontal="left" vertical="center" wrapText="1"/>
    </xf>
    <xf numFmtId="14" fontId="130" fillId="0" borderId="0" xfId="30099" applyNumberFormat="1" applyFont="1" applyAlignment="1">
      <alignment horizontal="left" vertical="top"/>
    </xf>
    <xf numFmtId="0" fontId="130"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3" fillId="26" borderId="0" xfId="30099" applyFont="1" applyFill="1" applyAlignment="1">
      <alignment horizontal="center" vertical="center"/>
    </xf>
    <xf numFmtId="164" fontId="136" fillId="26" borderId="0" xfId="30100" applyNumberFormat="1" applyFont="1" applyFill="1" applyBorder="1" applyAlignment="1">
      <alignment vertical="center"/>
    </xf>
    <xf numFmtId="164" fontId="136" fillId="26" borderId="0" xfId="30100" applyNumberFormat="1" applyFont="1" applyFill="1" applyBorder="1" applyAlignment="1">
      <alignment vertical="top"/>
    </xf>
    <xf numFmtId="164" fontId="135" fillId="26" borderId="0" xfId="30100" applyNumberFormat="1" applyFont="1" applyFill="1" applyBorder="1" applyAlignment="1">
      <alignment vertical="center"/>
    </xf>
    <xf numFmtId="164" fontId="134" fillId="26" borderId="0" xfId="30100" applyNumberFormat="1" applyFont="1" applyFill="1" applyBorder="1" applyAlignment="1">
      <alignment vertical="center"/>
    </xf>
    <xf numFmtId="164" fontId="136" fillId="26" borderId="41" xfId="30100" applyNumberFormat="1" applyFont="1" applyFill="1" applyBorder="1" applyAlignment="1">
      <alignment vertical="top"/>
    </xf>
    <xf numFmtId="164" fontId="130" fillId="0" borderId="0" xfId="30100" applyNumberFormat="1" applyFont="1" applyFill="1" applyBorder="1" applyAlignment="1">
      <alignment vertical="top"/>
    </xf>
    <xf numFmtId="49" fontId="136" fillId="26" borderId="0" xfId="30100" applyNumberFormat="1" applyFont="1" applyFill="1" applyBorder="1" applyAlignment="1">
      <alignment horizontal="center" vertical="center"/>
    </xf>
    <xf numFmtId="49" fontId="136" fillId="26" borderId="0" xfId="30100" applyNumberFormat="1" applyFont="1" applyFill="1" applyBorder="1" applyAlignment="1">
      <alignment horizontal="center" vertical="top"/>
    </xf>
    <xf numFmtId="0" fontId="136" fillId="26" borderId="0" xfId="30099" applyFont="1" applyFill="1" applyAlignment="1">
      <alignment horizontal="left" wrapText="1"/>
    </xf>
    <xf numFmtId="0" fontId="136" fillId="26" borderId="0" xfId="30099" applyFont="1" applyFill="1" applyAlignment="1">
      <alignment horizontal="left" vertical="center" wrapText="1"/>
    </xf>
    <xf numFmtId="0" fontId="130" fillId="0" borderId="0" xfId="30099" applyFont="1" applyFill="1" applyAlignment="1">
      <alignment horizontal="left"/>
    </xf>
    <xf numFmtId="0" fontId="132"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2" xfId="4688" applyFont="1" applyBorder="1"/>
    <xf numFmtId="0" fontId="138" fillId="79" borderId="41" xfId="30099" applyFont="1" applyFill="1" applyBorder="1" applyAlignment="1">
      <alignment vertical="center"/>
    </xf>
    <xf numFmtId="0" fontId="131" fillId="26" borderId="0" xfId="30099" applyFont="1" applyFill="1" applyAlignment="1" applyProtection="1">
      <alignment horizontal="center" vertical="center"/>
      <protection locked="0"/>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4" fillId="26" borderId="0" xfId="30099" applyFont="1" applyFill="1" applyAlignment="1">
      <alignment vertical="top" wrapText="1"/>
    </xf>
    <xf numFmtId="0" fontId="155"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4" xfId="0" applyFont="1" applyFill="1" applyBorder="1" applyAlignment="1">
      <alignment horizontal="center"/>
    </xf>
    <xf numFmtId="0" fontId="40" fillId="78" borderId="84" xfId="0" applyFont="1" applyFill="1" applyBorder="1" applyAlignment="1">
      <alignment horizontal="center" wrapText="1"/>
    </xf>
    <xf numFmtId="0" fontId="40" fillId="78" borderId="93" xfId="0" applyFont="1" applyFill="1" applyBorder="1" applyAlignment="1">
      <alignment vertical="center" wrapText="1"/>
    </xf>
    <xf numFmtId="0" fontId="40" fillId="78" borderId="87" xfId="0" applyFont="1" applyFill="1" applyBorder="1" applyAlignment="1">
      <alignment wrapText="1"/>
    </xf>
    <xf numFmtId="0" fontId="40" fillId="78" borderId="84" xfId="0" applyFont="1" applyFill="1" applyBorder="1" applyAlignment="1">
      <alignment wrapText="1"/>
    </xf>
    <xf numFmtId="43" fontId="0" fillId="0" borderId="82" xfId="439" applyNumberFormat="1" applyFont="1" applyBorder="1"/>
    <xf numFmtId="0" fontId="40" fillId="78" borderId="96" xfId="0" applyFont="1" applyFill="1" applyBorder="1" applyAlignment="1">
      <alignment horizontal="center"/>
    </xf>
    <xf numFmtId="0" fontId="40" fillId="78" borderId="91" xfId="0" applyFont="1" applyFill="1" applyBorder="1" applyAlignment="1">
      <alignment horizontal="center"/>
    </xf>
    <xf numFmtId="0" fontId="40" fillId="78" borderId="93" xfId="0" applyFont="1" applyFill="1" applyBorder="1" applyAlignment="1">
      <alignment wrapText="1"/>
    </xf>
    <xf numFmtId="0" fontId="40" fillId="78" borderId="100"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659" applyFont="1" applyFill="1" applyAlignment="1">
      <alignment horizontal="center"/>
    </xf>
    <xf numFmtId="0" fontId="65" fillId="0" borderId="0" xfId="659" applyNumberFormat="1" applyFont="1" applyFill="1" applyAlignment="1" applyProtection="1">
      <alignment horizontal="left" vertical="center" wrapText="1"/>
    </xf>
    <xf numFmtId="0" fontId="0" fillId="0" borderId="0" xfId="659" applyNumberFormat="1" applyFont="1" applyFill="1"/>
    <xf numFmtId="38" fontId="62" fillId="0" borderId="0" xfId="440" applyNumberFormat="1" applyFont="1" applyFill="1" applyAlignment="1" applyProtection="1">
      <alignment horizontal="right" vertical="center"/>
    </xf>
    <xf numFmtId="4" fontId="0" fillId="0" borderId="0" xfId="0" applyNumberFormat="1" applyFont="1" applyFill="1"/>
    <xf numFmtId="0" fontId="0" fillId="0" borderId="0" xfId="0" applyFont="1" applyFill="1"/>
    <xf numFmtId="0" fontId="0" fillId="0" borderId="0" xfId="659" applyFont="1" applyFill="1"/>
    <xf numFmtId="0" fontId="160" fillId="0" borderId="0" xfId="0" applyFont="1" applyAlignment="1">
      <alignment vertical="center"/>
    </xf>
    <xf numFmtId="0" fontId="160" fillId="0" borderId="0" xfId="30099" applyFont="1" applyAlignment="1">
      <alignment horizontal="left" vertical="top"/>
    </xf>
    <xf numFmtId="0" fontId="156" fillId="26" borderId="0" xfId="30099" applyFont="1" applyFill="1" applyAlignment="1">
      <alignment vertical="center" wrapText="1"/>
    </xf>
    <xf numFmtId="0" fontId="161" fillId="26" borderId="0" xfId="30099" applyFont="1" applyFill="1" applyAlignment="1">
      <alignment vertical="center" wrapText="1"/>
    </xf>
    <xf numFmtId="0" fontId="130" fillId="26" borderId="0" xfId="30099" applyFont="1" applyFill="1" applyAlignment="1">
      <alignment horizontal="left" vertical="center" wrapText="1"/>
    </xf>
    <xf numFmtId="0" fontId="162" fillId="0" borderId="0" xfId="0" applyFont="1"/>
    <xf numFmtId="0" fontId="136" fillId="26" borderId="0" xfId="30100" applyNumberFormat="1" applyFont="1" applyFill="1" applyBorder="1" applyAlignment="1">
      <alignment horizontal="center" vertical="center"/>
    </xf>
    <xf numFmtId="164" fontId="136"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quotePrefix="1" applyFont="1" applyFill="1"/>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2"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1" fillId="0" borderId="25" xfId="0" applyFont="1" applyFill="1" applyBorder="1" applyAlignment="1">
      <alignment horizontal="center" vertical="center"/>
    </xf>
    <xf numFmtId="0" fontId="40" fillId="0" borderId="63" xfId="0" applyFont="1" applyFill="1" applyBorder="1" applyAlignment="1">
      <alignment horizontal="center" vertical="center"/>
    </xf>
    <xf numFmtId="0" fontId="72"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60" fillId="0" borderId="45" xfId="439" applyNumberFormat="1" applyFont="1" applyFill="1" applyBorder="1" applyAlignment="1" applyProtection="1">
      <alignment horizontal="center" vertical="center" wrapText="1"/>
    </xf>
    <xf numFmtId="0" fontId="65"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60"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60"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5" fillId="0" borderId="45" xfId="0" applyNumberFormat="1" applyFont="1" applyFill="1" applyBorder="1" applyAlignment="1" applyProtection="1">
      <alignment horizontal="left" vertical="center" wrapText="1"/>
    </xf>
    <xf numFmtId="0" fontId="60"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60"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60" fillId="0" borderId="29" xfId="439" applyNumberFormat="1" applyFont="1" applyFill="1" applyBorder="1" applyAlignment="1" applyProtection="1">
      <alignment horizontal="center" vertical="center" wrapText="1"/>
    </xf>
    <xf numFmtId="164" fontId="60" fillId="0" borderId="23" xfId="439" applyNumberFormat="1" applyFont="1" applyFill="1" applyBorder="1" applyAlignment="1" applyProtection="1">
      <alignment horizontal="center" vertical="center" wrapText="1"/>
    </xf>
    <xf numFmtId="0" fontId="60" fillId="0" borderId="23" xfId="0" applyNumberFormat="1" applyFont="1" applyFill="1" applyBorder="1" applyAlignment="1" applyProtection="1">
      <alignment horizontal="left" vertical="center" wrapText="1"/>
    </xf>
    <xf numFmtId="39" fontId="60" fillId="0" borderId="28" xfId="439" applyNumberFormat="1" applyFont="1" applyFill="1" applyBorder="1" applyAlignment="1" applyProtection="1">
      <alignment horizontal="center" vertical="center" wrapText="1"/>
    </xf>
    <xf numFmtId="164" fontId="60"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60" fillId="34" borderId="23" xfId="0" applyNumberFormat="1" applyFont="1" applyFill="1" applyBorder="1" applyAlignment="1" applyProtection="1">
      <alignment horizontal="left" vertical="center" wrapText="1"/>
    </xf>
    <xf numFmtId="164" fontId="60" fillId="29" borderId="23" xfId="439" applyNumberFormat="1" applyFont="1" applyFill="1" applyBorder="1" applyAlignment="1" applyProtection="1">
      <alignment horizontal="center" vertical="center" wrapText="1"/>
      <protection locked="0"/>
    </xf>
    <xf numFmtId="3" fontId="60" fillId="0" borderId="23" xfId="439" applyNumberFormat="1" applyFont="1" applyFill="1" applyBorder="1" applyAlignment="1" applyProtection="1">
      <alignment horizontal="center" vertical="center" wrapText="1"/>
    </xf>
    <xf numFmtId="3" fontId="60" fillId="34" borderId="23" xfId="439" applyNumberFormat="1" applyFont="1" applyFill="1" applyBorder="1" applyAlignment="1" applyProtection="1">
      <alignment horizontal="center" vertical="center" wrapText="1"/>
    </xf>
    <xf numFmtId="0" fontId="60" fillId="22" borderId="23" xfId="439" applyNumberFormat="1" applyFont="1" applyFill="1" applyBorder="1" applyAlignment="1" applyProtection="1">
      <alignment horizontal="center" vertical="center" wrapText="1"/>
      <protection locked="0"/>
    </xf>
    <xf numFmtId="164" fontId="60"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60" fillId="0" borderId="45" xfId="439" applyNumberFormat="1" applyFont="1" applyFill="1" applyBorder="1" applyAlignment="1" applyProtection="1">
      <alignment horizontal="center" vertical="center" wrapText="1"/>
    </xf>
    <xf numFmtId="0" fontId="60"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60" fillId="78" borderId="25" xfId="0" applyNumberFormat="1" applyFont="1" applyFill="1" applyBorder="1" applyAlignment="1" applyProtection="1">
      <alignment horizontal="left" vertical="center" wrapText="1"/>
    </xf>
    <xf numFmtId="0" fontId="60"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2"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5" xfId="545" applyNumberFormat="1" applyFont="1" applyFill="1" applyBorder="1" applyAlignment="1">
      <alignment horizontal="center"/>
    </xf>
    <xf numFmtId="10" fontId="0" fillId="0" borderId="94" xfId="4688" applyNumberFormat="1" applyFont="1" applyFill="1" applyBorder="1" applyAlignment="1">
      <alignment horizontal="center"/>
    </xf>
    <xf numFmtId="164" fontId="51" fillId="0" borderId="0" xfId="0" applyNumberFormat="1" applyFont="1" applyFill="1" applyAlignment="1" applyProtection="1">
      <alignment wrapText="1"/>
    </xf>
    <xf numFmtId="0" fontId="130"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3"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3" fillId="81" borderId="57" xfId="30099" applyFont="1" applyFill="1" applyBorder="1" applyAlignment="1" applyProtection="1">
      <alignment horizontal="center" vertical="center"/>
      <protection locked="0"/>
    </xf>
    <xf numFmtId="0" fontId="130" fillId="81" borderId="57" xfId="30099" applyFont="1" applyFill="1" applyBorder="1" applyAlignment="1" applyProtection="1">
      <alignment horizontal="center" vertical="center"/>
      <protection locked="0"/>
    </xf>
    <xf numFmtId="14" fontId="130" fillId="81" borderId="57" xfId="30099" applyNumberFormat="1" applyFont="1" applyFill="1" applyBorder="1" applyAlignment="1" applyProtection="1">
      <alignment horizontal="center" vertical="center"/>
      <protection locked="0"/>
    </xf>
    <xf numFmtId="164" fontId="136"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5"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5"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1" fontId="0" fillId="0" borderId="0" xfId="0" applyNumberFormat="1" applyFont="1" applyFill="1"/>
    <xf numFmtId="38" fontId="0" fillId="0" borderId="0" xfId="0" applyNumberFormat="1" applyFont="1" applyFill="1"/>
    <xf numFmtId="40" fontId="0" fillId="0" borderId="0" xfId="0" applyNumberFormat="1" applyFont="1" applyFill="1"/>
    <xf numFmtId="2" fontId="0" fillId="0" borderId="0" xfId="0" applyNumberFormat="1" applyFont="1" applyFill="1"/>
    <xf numFmtId="0" fontId="115" fillId="0" borderId="0" xfId="0" applyFont="1" applyFill="1"/>
    <xf numFmtId="164" fontId="0" fillId="0" borderId="0" xfId="659" applyNumberFormat="1" applyFont="1" applyFill="1"/>
    <xf numFmtId="37" fontId="0" fillId="0" borderId="0" xfId="439" applyNumberFormat="1" applyFont="1" applyFill="1"/>
    <xf numFmtId="43" fontId="0" fillId="0" borderId="0" xfId="0" applyNumberFormat="1" applyFont="1" applyFill="1"/>
    <xf numFmtId="0" fontId="0" fillId="0" borderId="89" xfId="0" applyFont="1" applyFill="1" applyBorder="1" applyAlignment="1">
      <alignment vertical="center"/>
    </xf>
    <xf numFmtId="0" fontId="0" fillId="0" borderId="0" xfId="0" applyFont="1" applyFill="1" applyBorder="1" applyAlignment="1">
      <alignment vertical="center" wrapText="1"/>
    </xf>
    <xf numFmtId="0" fontId="0" fillId="0" borderId="85" xfId="0" applyFont="1" applyFill="1" applyBorder="1" applyAlignment="1">
      <alignment wrapText="1"/>
    </xf>
    <xf numFmtId="0" fontId="0" fillId="0" borderId="15" xfId="0" applyFont="1" applyFill="1" applyBorder="1" applyAlignment="1">
      <alignment vertical="center"/>
    </xf>
    <xf numFmtId="10" fontId="0" fillId="0" borderId="0" xfId="4688" applyNumberFormat="1" applyFont="1" applyFill="1"/>
    <xf numFmtId="0" fontId="40" fillId="0" borderId="85" xfId="0" applyFont="1" applyFill="1" applyBorder="1" applyAlignment="1"/>
    <xf numFmtId="0" fontId="40" fillId="0" borderId="93" xfId="0" applyFont="1" applyFill="1" applyBorder="1" applyAlignment="1">
      <alignment vertical="center"/>
    </xf>
    <xf numFmtId="0" fontId="34" fillId="0" borderId="0" xfId="0" applyFont="1" applyProtection="1"/>
    <xf numFmtId="0" fontId="61" fillId="0" borderId="0" xfId="26000" applyFont="1" applyProtection="1"/>
    <xf numFmtId="0" fontId="61"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1" fillId="0" borderId="0" xfId="26000" applyFont="1" applyAlignment="1" applyProtection="1">
      <alignment horizontal="left"/>
    </xf>
    <xf numFmtId="0" fontId="61" fillId="84" borderId="0" xfId="26000" applyFont="1" applyFill="1" applyProtection="1"/>
    <xf numFmtId="0" fontId="46" fillId="84" borderId="0" xfId="26000" applyFont="1" applyFill="1" applyProtection="1"/>
    <xf numFmtId="0" fontId="165" fillId="0" borderId="57" xfId="26000" applyFont="1" applyBorder="1" applyProtection="1"/>
    <xf numFmtId="9" fontId="61"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1"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6"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6" fillId="0" borderId="0" xfId="26000" applyFont="1" applyProtection="1"/>
    <xf numFmtId="43" fontId="46" fillId="0" borderId="0" xfId="26000" applyNumberFormat="1" applyFont="1" applyProtection="1"/>
    <xf numFmtId="164" fontId="61" fillId="0" borderId="57" xfId="26000" applyNumberFormat="1" applyFont="1" applyBorder="1" applyProtection="1"/>
    <xf numFmtId="0" fontId="61" fillId="0" borderId="0" xfId="26000" applyFont="1" applyAlignment="1" applyProtection="1">
      <alignment horizontal="center"/>
    </xf>
    <xf numFmtId="0" fontId="61" fillId="0" borderId="70" xfId="26000" applyFont="1" applyBorder="1" applyAlignment="1" applyProtection="1">
      <alignment horizontal="right" vertical="top" wrapText="1"/>
    </xf>
    <xf numFmtId="164" fontId="61" fillId="0" borderId="72" xfId="29549" applyNumberFormat="1" applyFont="1" applyBorder="1" applyProtection="1"/>
    <xf numFmtId="167" fontId="46" fillId="0" borderId="0" xfId="29549" applyNumberFormat="1" applyFont="1" applyProtection="1"/>
    <xf numFmtId="43" fontId="61" fillId="0" borderId="70" xfId="29549" applyFont="1" applyBorder="1" applyProtection="1"/>
    <xf numFmtId="43" fontId="46" fillId="0" borderId="72" xfId="29549" applyFont="1" applyBorder="1" applyAlignment="1" applyProtection="1">
      <alignment horizontal="right"/>
    </xf>
    <xf numFmtId="0" fontId="46" fillId="0" borderId="0" xfId="26000" applyFont="1" applyBorder="1" applyAlignment="1" applyProtection="1">
      <alignment vertical="top"/>
    </xf>
    <xf numFmtId="0" fontId="166"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7" fillId="26" borderId="0" xfId="682" applyFont="1" applyFill="1"/>
    <xf numFmtId="0" fontId="0" fillId="26" borderId="0" xfId="682" applyFont="1" applyFill="1"/>
    <xf numFmtId="0" fontId="51" fillId="0" borderId="17" xfId="682" applyFont="1" applyBorder="1" applyAlignment="1">
      <alignment horizontal="center"/>
    </xf>
    <xf numFmtId="0" fontId="168" fillId="0" borderId="0" xfId="682" applyFont="1"/>
    <xf numFmtId="0" fontId="168" fillId="0" borderId="0" xfId="682" applyFont="1" applyAlignment="1">
      <alignment vertical="center"/>
    </xf>
    <xf numFmtId="0" fontId="51" fillId="0" borderId="14" xfId="682" applyFont="1" applyBorder="1" applyAlignment="1">
      <alignment horizontal="center" vertical="center" wrapText="1"/>
    </xf>
    <xf numFmtId="0" fontId="169" fillId="0" borderId="0" xfId="682" applyFont="1"/>
    <xf numFmtId="0" fontId="54" fillId="0" borderId="0" xfId="682" applyFont="1"/>
    <xf numFmtId="167" fontId="170" fillId="26" borderId="0" xfId="546" applyNumberFormat="1" applyFont="1" applyFill="1"/>
    <xf numFmtId="167" fontId="54" fillId="0" borderId="0" xfId="546" applyNumberFormat="1" applyFont="1"/>
    <xf numFmtId="38" fontId="170"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9" fillId="0" borderId="0" xfId="682" applyFont="1" applyAlignment="1">
      <alignment vertical="center"/>
    </xf>
    <xf numFmtId="0" fontId="171"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0" fillId="0" borderId="0" xfId="546" applyNumberFormat="1" applyFont="1" applyFill="1"/>
    <xf numFmtId="38" fontId="170" fillId="26" borderId="0" xfId="0" applyNumberFormat="1" applyFont="1" applyFill="1"/>
    <xf numFmtId="38" fontId="170" fillId="0" borderId="0" xfId="449" applyNumberFormat="1" applyFont="1" applyFill="1"/>
    <xf numFmtId="38" fontId="170" fillId="26" borderId="17" xfId="0" applyNumberFormat="1" applyFont="1" applyFill="1" applyBorder="1"/>
    <xf numFmtId="38" fontId="170"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2" xfId="0" applyFont="1" applyBorder="1"/>
    <xf numFmtId="0" fontId="40" fillId="78" borderId="78" xfId="0" applyFont="1" applyFill="1" applyBorder="1" applyAlignment="1">
      <alignment horizontal="left"/>
    </xf>
    <xf numFmtId="0" fontId="0" fillId="78" borderId="78" xfId="0" applyFont="1" applyFill="1" applyBorder="1"/>
    <xf numFmtId="0" fontId="40"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3"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3" fillId="78" borderId="99" xfId="0" applyFont="1" applyFill="1" applyBorder="1" applyAlignment="1">
      <alignment wrapText="1"/>
    </xf>
    <xf numFmtId="37" fontId="0" fillId="0" borderId="0" xfId="0" applyNumberFormat="1" applyFont="1" applyBorder="1"/>
    <xf numFmtId="0" fontId="0" fillId="0" borderId="85" xfId="0" applyNumberFormat="1" applyFont="1" applyBorder="1" applyAlignment="1">
      <alignment horizontal="center" wrapText="1"/>
    </xf>
    <xf numFmtId="10" fontId="0" fillId="0" borderId="82" xfId="0" applyNumberFormat="1" applyFont="1" applyBorder="1"/>
    <xf numFmtId="0" fontId="0" fillId="78" borderId="84" xfId="0" applyFont="1" applyFill="1" applyBorder="1"/>
    <xf numFmtId="0" fontId="0" fillId="78" borderId="84" xfId="0" applyFont="1" applyFill="1" applyBorder="1" applyAlignment="1">
      <alignment horizontal="center" wrapText="1"/>
    </xf>
    <xf numFmtId="0" fontId="0" fillId="78" borderId="84" xfId="0" applyFont="1" applyFill="1" applyBorder="1" applyAlignment="1">
      <alignment wrapText="1"/>
    </xf>
    <xf numFmtId="0" fontId="0" fillId="78" borderId="96" xfId="0" applyFont="1" applyFill="1" applyBorder="1" applyAlignment="1">
      <alignment horizontal="center" wrapText="1"/>
    </xf>
    <xf numFmtId="0" fontId="0" fillId="78" borderId="96" xfId="0" applyFont="1" applyFill="1" applyBorder="1"/>
    <xf numFmtId="2" fontId="0" fillId="0" borderId="82" xfId="0" applyNumberFormat="1" applyFont="1" applyBorder="1"/>
    <xf numFmtId="168" fontId="0" fillId="0" borderId="82" xfId="0" applyNumberFormat="1" applyFont="1" applyBorder="1"/>
    <xf numFmtId="2" fontId="0" fillId="80" borderId="86" xfId="0" applyNumberFormat="1" applyFont="1" applyFill="1" applyBorder="1"/>
    <xf numFmtId="0" fontId="0" fillId="78" borderId="91" xfId="0" applyFont="1" applyFill="1" applyBorder="1" applyAlignment="1">
      <alignment horizontal="center" wrapText="1"/>
    </xf>
    <xf numFmtId="0" fontId="0" fillId="78" borderId="91" xfId="0" applyFont="1" applyFill="1" applyBorder="1"/>
    <xf numFmtId="0" fontId="0" fillId="78" borderId="92" xfId="0" applyFont="1" applyFill="1" applyBorder="1"/>
    <xf numFmtId="39" fontId="0" fillId="0" borderId="82" xfId="0" applyNumberFormat="1" applyFont="1" applyBorder="1"/>
    <xf numFmtId="2" fontId="0" fillId="0" borderId="85" xfId="0" applyNumberFormat="1" applyFont="1" applyFill="1" applyBorder="1" applyAlignment="1">
      <alignment horizontal="center"/>
    </xf>
    <xf numFmtId="0" fontId="0" fillId="78" borderId="87" xfId="0" applyFont="1" applyFill="1" applyBorder="1"/>
    <xf numFmtId="0" fontId="0" fillId="78" borderId="87" xfId="0" applyFont="1" applyFill="1" applyBorder="1" applyAlignment="1">
      <alignment horizontal="center" wrapText="1"/>
    </xf>
    <xf numFmtId="0" fontId="0" fillId="78" borderId="87"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4" xfId="0" applyFont="1" applyFill="1" applyBorder="1"/>
    <xf numFmtId="0" fontId="0" fillId="78" borderId="10" xfId="0" quotePrefix="1" applyFont="1" applyFill="1" applyBorder="1" applyAlignment="1">
      <alignment horizontal="center" wrapText="1"/>
    </xf>
    <xf numFmtId="0" fontId="0" fillId="0" borderId="97"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2" xfId="0" applyFont="1" applyFill="1" applyBorder="1" applyAlignment="1">
      <alignment wrapText="1"/>
    </xf>
    <xf numFmtId="0" fontId="0" fillId="0" borderId="98"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2"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8" xfId="0" applyFont="1" applyBorder="1" applyAlignment="1">
      <alignment vertical="center"/>
    </xf>
    <xf numFmtId="0" fontId="173" fillId="78" borderId="103" xfId="0" applyFont="1" applyFill="1" applyBorder="1" applyAlignment="1">
      <alignment wrapText="1"/>
    </xf>
    <xf numFmtId="0" fontId="40" fillId="0" borderId="90" xfId="0" applyFont="1" applyBorder="1" applyAlignment="1">
      <alignment vertical="center"/>
    </xf>
    <xf numFmtId="9" fontId="40" fillId="0" borderId="0" xfId="4688" applyFont="1" applyBorder="1" applyAlignment="1">
      <alignment horizontal="center" wrapText="1"/>
    </xf>
    <xf numFmtId="0" fontId="40" fillId="0" borderId="84" xfId="0" applyFont="1" applyBorder="1" applyAlignment="1">
      <alignment vertical="center"/>
    </xf>
    <xf numFmtId="0" fontId="40" fillId="0" borderId="0" xfId="0" applyFont="1" applyFill="1" applyBorder="1" applyAlignment="1">
      <alignment vertical="center"/>
    </xf>
    <xf numFmtId="0" fontId="40" fillId="0" borderId="87" xfId="0" applyFont="1" applyBorder="1" applyAlignment="1">
      <alignment vertical="center"/>
    </xf>
    <xf numFmtId="0" fontId="40" fillId="0" borderId="82" xfId="0" applyFont="1" applyBorder="1" applyAlignment="1">
      <alignment vertical="center"/>
    </xf>
    <xf numFmtId="0" fontId="163" fillId="73" borderId="92" xfId="0" applyFont="1" applyFill="1" applyBorder="1" applyAlignment="1">
      <alignment horizontal="center" vertical="center" wrapText="1"/>
    </xf>
    <xf numFmtId="0" fontId="40" fillId="78" borderId="12" xfId="0" applyFont="1" applyFill="1" applyBorder="1"/>
    <xf numFmtId="0" fontId="173" fillId="78" borderId="109"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0"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3"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60"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4"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4"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60"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60"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60"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60"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60" fillId="0" borderId="0" xfId="30099" applyNumberFormat="1" applyFont="1" applyFill="1" applyAlignment="1">
      <alignment horizontal="right" vertical="top" indent="1" shrinkToFit="1"/>
    </xf>
    <xf numFmtId="1" fontId="160" fillId="82" borderId="0" xfId="30099" applyNumberFormat="1" applyFont="1" applyFill="1" applyAlignment="1">
      <alignment horizontal="left" vertical="top" indent="3" shrinkToFit="1"/>
    </xf>
    <xf numFmtId="181" fontId="160" fillId="0" borderId="0" xfId="30099" applyNumberFormat="1" applyFont="1" applyAlignment="1">
      <alignment horizontal="right" vertical="top" indent="1" shrinkToFit="1"/>
    </xf>
    <xf numFmtId="1" fontId="160"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60"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1" xfId="0" applyFont="1" applyFill="1" applyBorder="1" applyAlignment="1">
      <alignment vertical="center" wrapText="1"/>
    </xf>
    <xf numFmtId="1" fontId="160" fillId="82" borderId="0" xfId="30099" applyNumberFormat="1" applyFont="1" applyFill="1" applyAlignment="1">
      <alignment horizontal="center" vertical="top" shrinkToFit="1"/>
    </xf>
    <xf numFmtId="1" fontId="160"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60"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3" fillId="0" borderId="45" xfId="0" applyNumberFormat="1" applyFont="1" applyFill="1" applyBorder="1" applyAlignment="1" applyProtection="1">
      <alignment horizontal="left" vertical="center" wrapText="1"/>
    </xf>
    <xf numFmtId="0" fontId="65"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3"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2" fillId="28" borderId="0" xfId="439" applyNumberFormat="1" applyFont="1" applyFill="1" applyAlignment="1" applyProtection="1">
      <alignment wrapText="1"/>
    </xf>
    <xf numFmtId="41" fontId="73"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2"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2"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2" fillId="0" borderId="0" xfId="0" applyNumberFormat="1" applyFont="1" applyFill="1" applyAlignment="1" applyProtection="1">
      <alignment wrapText="1"/>
    </xf>
    <xf numFmtId="41" fontId="73" fillId="0" borderId="0" xfId="0" applyNumberFormat="1" applyFont="1" applyFill="1" applyBorder="1" applyAlignment="1" applyProtection="1">
      <alignment wrapText="1"/>
      <protection locked="0"/>
    </xf>
    <xf numFmtId="0" fontId="72" fillId="0" borderId="0" xfId="0" applyFont="1" applyFill="1" applyProtection="1"/>
    <xf numFmtId="164" fontId="0" fillId="0" borderId="45" xfId="0" applyNumberFormat="1" applyFont="1" applyFill="1" applyBorder="1" applyAlignment="1" applyProtection="1">
      <alignment wrapText="1"/>
      <protection locked="0"/>
    </xf>
    <xf numFmtId="0" fontId="73" fillId="0" borderId="0" xfId="0" applyFont="1" applyFill="1" applyAlignment="1" applyProtection="1">
      <alignment wrapText="1"/>
    </xf>
    <xf numFmtId="0" fontId="40" fillId="0" borderId="0" xfId="0" applyFont="1" applyFill="1" applyAlignment="1" applyProtection="1">
      <alignment horizontal="center" vertical="center" wrapText="1"/>
    </xf>
    <xf numFmtId="0" fontId="73" fillId="0" borderId="0" xfId="0" applyFont="1" applyFill="1" applyAlignment="1" applyProtection="1">
      <alignment horizontal="left" wrapText="1" indent="2"/>
    </xf>
    <xf numFmtId="0" fontId="0" fillId="0" borderId="0" xfId="0" applyFont="1" applyBorder="1" applyAlignment="1" applyProtection="1">
      <alignment wrapText="1"/>
    </xf>
    <xf numFmtId="41" fontId="73" fillId="0" borderId="45" xfId="0" applyNumberFormat="1" applyFont="1" applyFill="1" applyBorder="1" applyAlignment="1" applyProtection="1">
      <alignment wrapText="1"/>
    </xf>
    <xf numFmtId="41" fontId="73" fillId="0" borderId="45" xfId="0" applyNumberFormat="1" applyFont="1" applyBorder="1" applyAlignment="1">
      <alignment wrapText="1"/>
    </xf>
    <xf numFmtId="41" fontId="73"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3"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3"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2" fillId="0" borderId="0" xfId="439" applyNumberFormat="1" applyFont="1" applyFill="1" applyAlignment="1" applyProtection="1">
      <alignment vertical="center" wrapText="1"/>
    </xf>
    <xf numFmtId="39" fontId="7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2"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2"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1"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1" fillId="0" borderId="0" xfId="0" applyFont="1" applyFill="1" applyAlignment="1" applyProtection="1">
      <alignment horizontal="left" vertical="center" wrapText="1"/>
    </xf>
    <xf numFmtId="0" fontId="65"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5"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5" fillId="0" borderId="0" xfId="0" applyFont="1" applyFill="1" applyAlignment="1" applyProtection="1">
      <alignment horizontal="center" vertical="center" wrapText="1"/>
    </xf>
    <xf numFmtId="3" fontId="188" fillId="0" borderId="0" xfId="1540" applyFont="1" applyFill="1" applyAlignment="1" applyProtection="1">
      <alignment vertical="center" wrapText="1"/>
    </xf>
    <xf numFmtId="0" fontId="61" fillId="0" borderId="0" xfId="30099" applyFont="1" applyFill="1" applyAlignment="1">
      <alignment horizontal="left" vertical="top" wrapText="1"/>
    </xf>
    <xf numFmtId="0" fontId="61"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3" fillId="74" borderId="0" xfId="439" applyNumberFormat="1" applyFont="1" applyFill="1" applyAlignment="1" applyProtection="1">
      <alignment wrapText="1"/>
    </xf>
    <xf numFmtId="0" fontId="61"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3"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3" fillId="74" borderId="0" xfId="0" applyFont="1" applyFill="1" applyAlignment="1" applyProtection="1"/>
    <xf numFmtId="0" fontId="40" fillId="74" borderId="0" xfId="0" applyFont="1" applyFill="1" applyAlignment="1" applyProtection="1">
      <alignment horizontal="center" vertical="center" wrapText="1"/>
      <protection locked="0"/>
    </xf>
    <xf numFmtId="0" fontId="73"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5"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2"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0"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3"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1" fillId="74" borderId="0" xfId="0" applyFont="1" applyFill="1" applyAlignment="1" applyProtection="1">
      <alignment horizontal="left" vertical="center"/>
    </xf>
    <xf numFmtId="0" fontId="85" fillId="74" borderId="0" xfId="0" applyFont="1" applyFill="1" applyAlignment="1" applyProtection="1">
      <alignment vertical="center"/>
    </xf>
    <xf numFmtId="0" fontId="192" fillId="74" borderId="0" xfId="0" applyFont="1" applyFill="1" applyAlignment="1" applyProtection="1">
      <alignment vertical="center"/>
      <protection locked="0"/>
    </xf>
    <xf numFmtId="0" fontId="65"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1" fillId="74" borderId="0" xfId="0" applyFont="1" applyFill="1" applyAlignment="1">
      <alignment vertical="center" wrapText="1"/>
    </xf>
    <xf numFmtId="41" fontId="73" fillId="36" borderId="112" xfId="439" applyNumberFormat="1" applyFont="1" applyFill="1" applyBorder="1" applyAlignment="1">
      <alignment vertical="center" wrapText="1"/>
    </xf>
    <xf numFmtId="41" fontId="73" fillId="36" borderId="0" xfId="439" applyNumberFormat="1" applyFont="1" applyFill="1" applyAlignment="1">
      <alignment vertical="center" wrapText="1"/>
    </xf>
    <xf numFmtId="41" fontId="73" fillId="36" borderId="113" xfId="439" applyNumberFormat="1" applyFont="1" applyFill="1" applyBorder="1" applyAlignment="1">
      <alignment vertical="center" wrapText="1"/>
    </xf>
    <xf numFmtId="41" fontId="193" fillId="0" borderId="0" xfId="0" applyNumberFormat="1" applyFont="1" applyFill="1" applyAlignment="1" applyProtection="1">
      <alignment wrapText="1"/>
    </xf>
    <xf numFmtId="0" fontId="61"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6" xfId="545" applyNumberFormat="1" applyFont="1" applyFill="1" applyBorder="1"/>
    <xf numFmtId="37" fontId="0" fillId="0" borderId="102" xfId="0" applyNumberFormat="1" applyFont="1" applyFill="1" applyBorder="1" applyAlignment="1">
      <alignment horizontal="center" wrapText="1"/>
    </xf>
    <xf numFmtId="37" fontId="85" fillId="0" borderId="102" xfId="0" applyNumberFormat="1" applyFont="1" applyFill="1" applyBorder="1" applyAlignment="1">
      <alignment horizontal="center" wrapText="1"/>
    </xf>
    <xf numFmtId="41" fontId="73"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3"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5" xfId="0" applyNumberFormat="1" applyFont="1" applyFill="1" applyBorder="1" applyAlignment="1">
      <alignment horizontal="center" wrapText="1"/>
    </xf>
    <xf numFmtId="37" fontId="0" fillId="0" borderId="88" xfId="0" applyNumberFormat="1" applyFont="1" applyFill="1" applyBorder="1" applyAlignment="1">
      <alignment horizontal="center" wrapText="1"/>
    </xf>
    <xf numFmtId="10" fontId="0" fillId="0" borderId="94"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4" xfId="0" applyFont="1" applyFill="1" applyBorder="1" applyAlignment="1">
      <alignment wrapText="1"/>
    </xf>
    <xf numFmtId="10" fontId="0" fillId="0" borderId="83" xfId="4688" applyNumberFormat="1" applyFont="1" applyFill="1" applyBorder="1"/>
    <xf numFmtId="10" fontId="0" fillId="0" borderId="83" xfId="0" applyNumberFormat="1" applyFont="1" applyFill="1" applyBorder="1" applyAlignment="1">
      <alignment horizontal="center" wrapText="1"/>
    </xf>
    <xf numFmtId="0" fontId="0" fillId="0" borderId="115"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5" xfId="0" applyFont="1" applyFill="1" applyBorder="1" applyAlignment="1">
      <alignment vertical="center" wrapText="1"/>
    </xf>
    <xf numFmtId="0" fontId="0" fillId="78" borderId="95" xfId="0" applyFont="1" applyFill="1" applyBorder="1" applyAlignment="1">
      <alignment vertical="center" wrapText="1"/>
    </xf>
    <xf numFmtId="0" fontId="0" fillId="78" borderId="101" xfId="0" applyFont="1" applyFill="1" applyBorder="1" applyAlignment="1">
      <alignment vertical="center" wrapText="1"/>
    </xf>
    <xf numFmtId="0" fontId="0" fillId="78" borderId="94"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3" xfId="0" quotePrefix="1" applyFont="1" applyFill="1" applyBorder="1" applyAlignment="1">
      <alignment horizontal="center" vertical="center" wrapText="1"/>
    </xf>
    <xf numFmtId="0" fontId="0" fillId="78" borderId="83"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3" fillId="78" borderId="116" xfId="0" applyFont="1" applyFill="1" applyBorder="1" applyAlignment="1">
      <alignment wrapText="1"/>
    </xf>
    <xf numFmtId="9" fontId="0" fillId="78" borderId="83" xfId="4688" applyFont="1" applyFill="1" applyBorder="1" applyAlignment="1">
      <alignment horizontal="center" wrapText="1"/>
    </xf>
    <xf numFmtId="0" fontId="0" fillId="78" borderId="94" xfId="0" applyFont="1" applyFill="1" applyBorder="1" applyAlignment="1">
      <alignment horizontal="center" vertical="center" wrapText="1"/>
    </xf>
    <xf numFmtId="37" fontId="0" fillId="78" borderId="102" xfId="0" applyNumberFormat="1" applyFont="1" applyFill="1" applyBorder="1" applyAlignment="1">
      <alignment horizontal="center" wrapText="1"/>
    </xf>
    <xf numFmtId="0" fontId="0" fillId="78" borderId="97"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7" xfId="0" applyBorder="1"/>
    <xf numFmtId="0" fontId="0" fillId="0" borderId="81" xfId="0" applyBorder="1"/>
    <xf numFmtId="0" fontId="0" fillId="0" borderId="82" xfId="0" applyBorder="1"/>
    <xf numFmtId="0" fontId="0" fillId="0" borderId="120" xfId="0" applyBorder="1"/>
    <xf numFmtId="0" fontId="197"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0" fillId="0" borderId="0" xfId="0" applyAlignment="1">
      <alignment horizontal="center" wrapText="1"/>
    </xf>
    <xf numFmtId="37" fontId="0" fillId="0" borderId="0" xfId="0" applyNumberFormat="1"/>
    <xf numFmtId="0" fontId="0" fillId="78" borderId="121"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2"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1"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2" fontId="0" fillId="0" borderId="0" xfId="0" applyNumberFormat="1"/>
    <xf numFmtId="0" fontId="0" fillId="0" borderId="57" xfId="0" applyBorder="1" applyAlignment="1">
      <alignment horizontal="center" wrapText="1"/>
    </xf>
    <xf numFmtId="0" fontId="0" fillId="78" borderId="57" xfId="0" applyFill="1" applyBorder="1" applyAlignment="1">
      <alignment wrapText="1"/>
    </xf>
    <xf numFmtId="10" fontId="0" fillId="0" borderId="0" xfId="4688" applyNumberFormat="1" applyFont="1" applyFill="1" applyBorder="1"/>
    <xf numFmtId="37" fontId="0" fillId="0" borderId="57" xfId="0" applyNumberFormat="1" applyBorder="1" applyAlignment="1">
      <alignment horizontal="center" wrapText="1"/>
    </xf>
    <xf numFmtId="0" fontId="40" fillId="0" borderId="122" xfId="0" applyFont="1" applyBorder="1" applyAlignment="1">
      <alignment wrapText="1"/>
    </xf>
    <xf numFmtId="0" fontId="0" fillId="0" borderId="84" xfId="0" applyBorder="1"/>
    <xf numFmtId="0" fontId="0" fillId="0" borderId="84" xfId="0" applyBorder="1" applyAlignment="1">
      <alignment horizontal="center" wrapText="1"/>
    </xf>
    <xf numFmtId="0" fontId="0" fillId="0" borderId="84" xfId="0" applyBorder="1" applyAlignment="1">
      <alignment wrapText="1"/>
    </xf>
    <xf numFmtId="0" fontId="0" fillId="78" borderId="57" xfId="0" applyFill="1" applyBorder="1" applyAlignment="1">
      <alignment horizontal="left" vertical="center" wrapText="1"/>
    </xf>
    <xf numFmtId="0" fontId="40" fillId="0" borderId="123" xfId="0" applyFont="1" applyBorder="1" applyAlignment="1">
      <alignment wrapText="1"/>
    </xf>
    <xf numFmtId="0" fontId="0" fillId="0" borderId="124" xfId="0" applyBorder="1"/>
    <xf numFmtId="0" fontId="0" fillId="0" borderId="124" xfId="0" applyBorder="1" applyAlignment="1">
      <alignment horizontal="center" wrapText="1"/>
    </xf>
    <xf numFmtId="0" fontId="0" fillId="0" borderId="124" xfId="0" applyBorder="1" applyAlignment="1">
      <alignment wrapText="1"/>
    </xf>
    <xf numFmtId="0" fontId="0" fillId="78" borderId="84" xfId="0" applyFill="1" applyBorder="1"/>
    <xf numFmtId="0" fontId="40" fillId="78" borderId="89" xfId="0" applyFont="1" applyFill="1" applyBorder="1" applyAlignment="1">
      <alignment horizontal="center" wrapText="1"/>
    </xf>
    <xf numFmtId="0" fontId="40" fillId="78" borderId="70"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26" xfId="0" applyBorder="1"/>
    <xf numFmtId="0" fontId="40" fillId="0" borderId="0" xfId="0" applyFont="1" applyAlignment="1">
      <alignment wrapText="1"/>
    </xf>
    <xf numFmtId="0" fontId="0" fillId="0" borderId="119"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0" fontId="0" fillId="0" borderId="87" xfId="0" applyBorder="1"/>
    <xf numFmtId="0" fontId="0" fillId="0" borderId="87" xfId="0" applyBorder="1" applyAlignment="1">
      <alignment wrapText="1"/>
    </xf>
    <xf numFmtId="0" fontId="0" fillId="0" borderId="82" xfId="0" applyBorder="1" applyAlignment="1">
      <alignment wrapText="1"/>
    </xf>
    <xf numFmtId="0" fontId="0" fillId="0" borderId="89" xfId="0" applyBorder="1"/>
    <xf numFmtId="0" fontId="0" fillId="0" borderId="118" xfId="0" applyBorder="1"/>
    <xf numFmtId="0" fontId="0" fillId="78" borderId="70" xfId="0" applyFill="1" applyBorder="1" applyAlignment="1">
      <alignment horizontal="center" vertic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3" fillId="0" borderId="0" xfId="0" applyFont="1" applyFill="1" applyBorder="1" applyAlignment="1">
      <alignment vertical="center" wrapText="1"/>
    </xf>
    <xf numFmtId="0" fontId="0" fillId="0" borderId="119"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0" fillId="0" borderId="57" xfId="0" applyFill="1" applyBorder="1" applyAlignment="1">
      <alignment vertical="center" wrapText="1"/>
    </xf>
    <xf numFmtId="0" fontId="47" fillId="78" borderId="13" xfId="0" applyFont="1" applyFill="1" applyBorder="1" applyAlignment="1">
      <alignment vertical="center" wrapText="1"/>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27" xfId="0" applyFont="1" applyFill="1" applyBorder="1" applyAlignment="1">
      <alignment vertical="center" wrapText="1"/>
    </xf>
    <xf numFmtId="0" fontId="0" fillId="78" borderId="121"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7" xfId="4688" applyNumberFormat="1" applyFont="1" applyBorder="1"/>
    <xf numFmtId="0" fontId="0" fillId="0" borderId="0" xfId="4688" applyNumberFormat="1" applyFont="1" applyFill="1" applyBorder="1"/>
    <xf numFmtId="0" fontId="0" fillId="78" borderId="11" xfId="0" applyFill="1" applyBorder="1" applyAlignment="1">
      <alignment vertical="center" wrapText="1"/>
    </xf>
    <xf numFmtId="4" fontId="0" fillId="0" borderId="57" xfId="4688" applyNumberFormat="1" applyFont="1" applyFill="1" applyBorder="1" applyAlignment="1">
      <alignment horizontal="center"/>
    </xf>
    <xf numFmtId="4" fontId="0" fillId="0" borderId="57" xfId="0" applyNumberFormat="1" applyBorder="1" applyAlignment="1">
      <alignment horizontal="center"/>
    </xf>
    <xf numFmtId="0" fontId="0" fillId="0" borderId="25" xfId="0" applyNumberFormat="1" applyFont="1" applyFill="1" applyBorder="1" applyAlignment="1">
      <alignment horizontal="center" vertical="center" wrapText="1"/>
    </xf>
    <xf numFmtId="164" fontId="0" fillId="0" borderId="0" xfId="439" applyNumberFormat="1" applyFont="1" applyFill="1" applyProtection="1"/>
    <xf numFmtId="1" fontId="198" fillId="0" borderId="0" xfId="682" applyNumberFormat="1" applyFont="1" applyFill="1" applyBorder="1" applyAlignment="1">
      <alignment horizontal="left" vertical="center" wrapText="1"/>
    </xf>
    <xf numFmtId="1" fontId="198" fillId="0" borderId="0" xfId="682" applyNumberFormat="1" applyFont="1" applyFill="1" applyBorder="1" applyAlignment="1">
      <alignment horizontal="left" vertical="center"/>
    </xf>
    <xf numFmtId="1" fontId="51" fillId="0" borderId="0" xfId="682" applyNumberFormat="1" applyFont="1" applyFill="1" applyBorder="1" applyAlignment="1">
      <alignment horizontal="left" vertical="center"/>
    </xf>
    <xf numFmtId="0" fontId="193" fillId="0" borderId="0" xfId="0" applyFont="1" applyFill="1" applyBorder="1" applyAlignment="1">
      <alignment wrapText="1"/>
    </xf>
    <xf numFmtId="1" fontId="199" fillId="0" borderId="0" xfId="682" applyNumberFormat="1" applyFont="1" applyFill="1" applyBorder="1" applyAlignment="1">
      <alignment horizontal="left"/>
    </xf>
    <xf numFmtId="1" fontId="200" fillId="0" borderId="0" xfId="682" applyNumberFormat="1" applyFont="1" applyFill="1" applyBorder="1" applyAlignment="1">
      <alignment horizontal="left"/>
    </xf>
    <xf numFmtId="0" fontId="51" fillId="0" borderId="0" xfId="0" applyFont="1" applyFill="1" applyBorder="1"/>
    <xf numFmtId="0" fontId="65" fillId="0" borderId="0" xfId="0" applyFont="1" applyFill="1" applyBorder="1" applyAlignment="1">
      <alignment vertical="center" wrapText="1"/>
    </xf>
    <xf numFmtId="0" fontId="0" fillId="0" borderId="0" xfId="0" applyNumberFormat="1" applyFont="1" applyFill="1" applyBorder="1" applyAlignment="1">
      <alignment horizontal="center"/>
    </xf>
    <xf numFmtId="0" fontId="0" fillId="0" borderId="0" xfId="0" applyFill="1" applyAlignment="1">
      <alignment wrapText="1"/>
    </xf>
    <xf numFmtId="1" fontId="40" fillId="0" borderId="0" xfId="439" applyNumberFormat="1" applyFont="1" applyFill="1" applyAlignment="1" applyProtection="1">
      <alignment horizontal="center" vertical="center"/>
    </xf>
    <xf numFmtId="1" fontId="62" fillId="0" borderId="0" xfId="439" applyNumberFormat="1" applyFont="1" applyFill="1" applyAlignment="1" applyProtection="1">
      <alignment horizontal="center" vertical="center"/>
    </xf>
    <xf numFmtId="43" fontId="40" fillId="0" borderId="0" xfId="439" applyFont="1" applyFill="1" applyAlignment="1" applyProtection="1">
      <alignment horizontal="center" vertical="center"/>
    </xf>
    <xf numFmtId="43" fontId="62" fillId="0" borderId="0" xfId="439" applyFont="1" applyFill="1" applyAlignment="1" applyProtection="1">
      <alignment horizontal="center" vertical="center"/>
    </xf>
    <xf numFmtId="3" fontId="40" fillId="0" borderId="0" xfId="439" applyNumberFormat="1" applyFont="1" applyFill="1" applyAlignment="1" applyProtection="1">
      <alignment horizontal="center" vertical="center"/>
    </xf>
    <xf numFmtId="3" fontId="62" fillId="0" borderId="0" xfId="439" applyNumberFormat="1" applyFont="1" applyFill="1" applyAlignment="1" applyProtection="1">
      <alignment horizontal="center" vertical="center"/>
    </xf>
    <xf numFmtId="0" fontId="0" fillId="36" borderId="0" xfId="0" applyFill="1"/>
    <xf numFmtId="4" fontId="40" fillId="0" borderId="0" xfId="439" applyNumberFormat="1" applyFont="1" applyFill="1" applyAlignment="1" applyProtection="1">
      <alignment horizontal="center" vertical="center"/>
    </xf>
    <xf numFmtId="4" fontId="62" fillId="0" borderId="0" xfId="439" applyNumberFormat="1" applyFont="1" applyFill="1" applyAlignment="1" applyProtection="1">
      <alignment horizontal="center" vertical="center"/>
    </xf>
    <xf numFmtId="164" fontId="65" fillId="0" borderId="0" xfId="440" applyNumberFormat="1" applyFont="1" applyFill="1" applyAlignment="1" applyProtection="1">
      <alignment horizontal="center" vertical="center"/>
    </xf>
    <xf numFmtId="164" fontId="0" fillId="0" borderId="0" xfId="439" applyNumberFormat="1" applyFont="1" applyFill="1"/>
    <xf numFmtId="1" fontId="0" fillId="0" borderId="0" xfId="0" applyNumberFormat="1" applyFill="1" applyAlignment="1">
      <alignment wrapText="1"/>
    </xf>
    <xf numFmtId="1" fontId="199" fillId="0" borderId="0" xfId="0" applyNumberFormat="1" applyFont="1" applyFill="1" applyAlignment="1">
      <alignment horizontal="center"/>
    </xf>
    <xf numFmtId="1" fontId="198" fillId="0" borderId="0" xfId="0" applyNumberFormat="1" applyFont="1" applyFill="1" applyAlignment="1">
      <alignment horizontal="center" vertical="center"/>
    </xf>
    <xf numFmtId="1" fontId="51" fillId="0" borderId="0" xfId="0" applyNumberFormat="1" applyFont="1" applyFill="1" applyAlignment="1">
      <alignment horizontal="center" vertical="center"/>
    </xf>
    <xf numFmtId="1" fontId="200" fillId="0" borderId="0" xfId="0" applyNumberFormat="1" applyFont="1" applyFill="1" applyAlignment="1">
      <alignment horizontal="center"/>
    </xf>
    <xf numFmtId="0" fontId="40" fillId="0" borderId="26" xfId="12387" applyFont="1" applyFill="1" applyBorder="1" applyAlignment="1">
      <alignment horizontal="center" vertical="center"/>
    </xf>
    <xf numFmtId="1" fontId="0" fillId="0" borderId="0" xfId="0" applyNumberFormat="1" applyFill="1"/>
    <xf numFmtId="0" fontId="62" fillId="0" borderId="0" xfId="0" applyFont="1" applyFill="1" applyAlignment="1">
      <alignment horizontal="left" vertical="center" wrapText="1"/>
    </xf>
    <xf numFmtId="1" fontId="62" fillId="0" borderId="0" xfId="0" applyNumberFormat="1" applyFont="1" applyFill="1" applyAlignment="1">
      <alignment horizontal="center" vertical="center"/>
    </xf>
    <xf numFmtId="4" fontId="0" fillId="0" borderId="0" xfId="0" applyNumberFormat="1" applyFill="1"/>
    <xf numFmtId="0" fontId="40" fillId="0" borderId="25" xfId="12387" applyFont="1" applyFill="1" applyBorder="1" applyAlignment="1">
      <alignment horizontal="center" vertical="center"/>
    </xf>
    <xf numFmtId="0" fontId="34" fillId="0" borderId="0" xfId="12387" applyFill="1" applyAlignment="1" applyProtection="1">
      <alignment vertical="center" wrapText="1"/>
      <protection locked="0"/>
    </xf>
    <xf numFmtId="0" fontId="11" fillId="0" borderId="0" xfId="841" applyFill="1" applyAlignment="1">
      <alignment horizontal="left" vertical="center" wrapText="1"/>
    </xf>
    <xf numFmtId="3" fontId="62" fillId="0" borderId="0" xfId="0" applyNumberFormat="1" applyFont="1" applyFill="1" applyAlignment="1">
      <alignment horizontal="center" vertical="center"/>
    </xf>
    <xf numFmtId="2" fontId="200" fillId="0" borderId="0" xfId="0" applyNumberFormat="1" applyFont="1" applyFill="1" applyAlignment="1">
      <alignment horizontal="center"/>
    </xf>
    <xf numFmtId="2" fontId="199" fillId="0" borderId="0" xfId="0" applyNumberFormat="1" applyFont="1" applyFill="1" applyAlignment="1">
      <alignment horizontal="center"/>
    </xf>
    <xf numFmtId="38" fontId="199" fillId="0" borderId="0" xfId="0" applyNumberFormat="1" applyFont="1" applyFill="1" applyAlignment="1">
      <alignment horizontal="center"/>
    </xf>
    <xf numFmtId="38" fontId="200" fillId="0" borderId="0" xfId="0" applyNumberFormat="1" applyFont="1" applyFill="1" applyAlignment="1">
      <alignment horizontal="center"/>
    </xf>
    <xf numFmtId="3" fontId="200" fillId="0" borderId="0" xfId="0" applyNumberFormat="1" applyFont="1" applyFill="1" applyAlignment="1">
      <alignment horizontal="center"/>
    </xf>
    <xf numFmtId="3" fontId="199" fillId="0" borderId="0" xfId="0" applyNumberFormat="1" applyFont="1" applyFill="1" applyAlignment="1">
      <alignment horizontal="center"/>
    </xf>
    <xf numFmtId="0" fontId="34" fillId="0" borderId="0" xfId="12387" applyFill="1"/>
    <xf numFmtId="0" fontId="40" fillId="0" borderId="0" xfId="12387" applyFont="1" applyFill="1" applyAlignment="1">
      <alignment horizontal="center" vertical="center"/>
    </xf>
    <xf numFmtId="2" fontId="62" fillId="0" borderId="0" xfId="0" applyNumberFormat="1" applyFont="1" applyFill="1" applyAlignment="1">
      <alignment horizontal="left" vertical="center" wrapText="1"/>
    </xf>
    <xf numFmtId="2" fontId="62" fillId="0" borderId="0" xfId="0" applyNumberFormat="1" applyFont="1" applyFill="1" applyAlignment="1">
      <alignment horizontal="center" vertical="center"/>
    </xf>
    <xf numFmtId="2" fontId="40" fillId="0" borderId="0" xfId="439" applyNumberFormat="1" applyFont="1" applyFill="1" applyAlignment="1" applyProtection="1">
      <alignment horizontal="center" vertical="center"/>
    </xf>
    <xf numFmtId="2" fontId="62" fillId="0" borderId="0" xfId="439" applyNumberFormat="1" applyFont="1" applyFill="1" applyAlignment="1" applyProtection="1">
      <alignment horizontal="center" vertical="center"/>
    </xf>
    <xf numFmtId="0" fontId="40" fillId="0" borderId="0" xfId="12387" applyFont="1" applyFill="1" applyAlignment="1">
      <alignment horizontal="left" vertical="center"/>
    </xf>
    <xf numFmtId="2" fontId="0" fillId="0" borderId="0" xfId="0" applyNumberFormat="1" applyFill="1"/>
    <xf numFmtId="0" fontId="65" fillId="0" borderId="0" xfId="0" applyFont="1" applyFill="1" applyAlignment="1">
      <alignment horizontal="left" vertical="center" wrapText="1"/>
    </xf>
    <xf numFmtId="0" fontId="0" fillId="0" borderId="0" xfId="0" applyFill="1" applyAlignment="1">
      <alignment vertical="center" wrapText="1"/>
    </xf>
    <xf numFmtId="0" fontId="0" fillId="0" borderId="23" xfId="0" applyFill="1" applyBorder="1" applyAlignment="1">
      <alignment vertical="center" wrapText="1"/>
    </xf>
    <xf numFmtId="0" fontId="53" fillId="0" borderId="25" xfId="0" applyFont="1" applyFill="1" applyBorder="1" applyAlignment="1">
      <alignment horizontal="center" vertical="center"/>
    </xf>
    <xf numFmtId="0" fontId="53" fillId="0" borderId="0" xfId="0" applyFont="1" applyFill="1" applyAlignment="1">
      <alignment horizontal="center" vertical="center"/>
    </xf>
    <xf numFmtId="0" fontId="0" fillId="0" borderId="0" xfId="0" applyFill="1" applyAlignment="1">
      <alignment horizontal="left" vertical="center" wrapText="1"/>
    </xf>
    <xf numFmtId="0" fontId="34" fillId="0" borderId="0" xfId="6178" applyFill="1" applyAlignment="1">
      <alignment wrapText="1"/>
    </xf>
    <xf numFmtId="4" fontId="62" fillId="0" borderId="0" xfId="0" applyNumberFormat="1" applyFont="1" applyFill="1" applyAlignment="1">
      <alignment horizontal="center" vertical="center"/>
    </xf>
    <xf numFmtId="4" fontId="200" fillId="0" borderId="0" xfId="0" applyNumberFormat="1" applyFont="1" applyFill="1" applyAlignment="1">
      <alignment horizontal="center"/>
    </xf>
    <xf numFmtId="4" fontId="199" fillId="0" borderId="0" xfId="0" applyNumberFormat="1" applyFont="1" applyFill="1" applyAlignment="1">
      <alignment horizontal="center"/>
    </xf>
    <xf numFmtId="0" fontId="45" fillId="0" borderId="0" xfId="0" applyFont="1" applyFill="1" applyAlignment="1">
      <alignment horizontal="center"/>
    </xf>
    <xf numFmtId="0" fontId="34" fillId="0" borderId="0" xfId="31722" applyFill="1" applyAlignment="1">
      <alignment wrapText="1"/>
    </xf>
    <xf numFmtId="0" fontId="59" fillId="0" borderId="0" xfId="31723" applyFont="1" applyFill="1" applyAlignment="1">
      <alignment horizontal="left"/>
    </xf>
    <xf numFmtId="38" fontId="0" fillId="0" borderId="0" xfId="0" applyNumberFormat="1" applyFill="1"/>
    <xf numFmtId="0" fontId="45" fillId="0" borderId="0" xfId="31723" applyFont="1" applyFill="1" applyAlignment="1">
      <alignment wrapText="1"/>
    </xf>
    <xf numFmtId="38" fontId="65" fillId="0" borderId="0" xfId="0" applyNumberFormat="1" applyFont="1" applyFill="1" applyAlignment="1">
      <alignment horizontal="right" vertical="center" wrapText="1"/>
    </xf>
    <xf numFmtId="0" fontId="35" fillId="0" borderId="0" xfId="31723" applyFont="1" applyFill="1" applyAlignment="1">
      <alignment wrapText="1"/>
    </xf>
    <xf numFmtId="0" fontId="34" fillId="0" borderId="0" xfId="31723" applyFill="1" applyAlignment="1">
      <alignment wrapText="1"/>
    </xf>
    <xf numFmtId="0" fontId="34" fillId="0" borderId="0" xfId="31723" applyFill="1"/>
    <xf numFmtId="0" fontId="201" fillId="0" borderId="0" xfId="31723" applyFont="1" applyFill="1" applyAlignment="1">
      <alignment wrapText="1"/>
    </xf>
    <xf numFmtId="10" fontId="0" fillId="0" borderId="0" xfId="0" applyNumberFormat="1" applyFill="1"/>
    <xf numFmtId="164" fontId="34" fillId="0" borderId="0" xfId="31723" applyNumberFormat="1" applyFill="1"/>
    <xf numFmtId="2" fontId="65" fillId="0" borderId="0" xfId="0" applyNumberFormat="1" applyFont="1" applyFill="1" applyAlignment="1">
      <alignment horizontal="center" vertical="center"/>
    </xf>
    <xf numFmtId="0" fontId="201" fillId="0" borderId="0" xfId="0" applyFont="1" applyFill="1" applyAlignment="1">
      <alignment wrapText="1"/>
    </xf>
    <xf numFmtId="0" fontId="201" fillId="0" borderId="0" xfId="31723" applyFont="1" applyFill="1" applyAlignment="1">
      <alignment horizontal="center" wrapText="1"/>
    </xf>
    <xf numFmtId="0" fontId="25" fillId="0" borderId="0" xfId="31723" applyFont="1" applyFill="1" applyAlignment="1">
      <alignment horizontal="left" vertical="center" wrapText="1"/>
    </xf>
    <xf numFmtId="0" fontId="0" fillId="0" borderId="0" xfId="0" applyFill="1" applyAlignment="1">
      <alignment horizontal="left"/>
    </xf>
    <xf numFmtId="0" fontId="0" fillId="0" borderId="0" xfId="0" applyFill="1" applyAlignment="1">
      <alignment horizontal="left" wrapText="1"/>
    </xf>
    <xf numFmtId="0" fontId="201" fillId="0" borderId="0" xfId="31723" applyFont="1" applyFill="1" applyAlignment="1">
      <alignment horizontal="left" wrapText="1"/>
    </xf>
    <xf numFmtId="40" fontId="0" fillId="0" borderId="0" xfId="0" applyNumberFormat="1" applyFill="1"/>
    <xf numFmtId="0" fontId="203" fillId="0" borderId="0" xfId="0" applyFont="1" applyFill="1"/>
    <xf numFmtId="10" fontId="0" fillId="0" borderId="0" xfId="4688" applyNumberFormat="1" applyFont="1"/>
    <xf numFmtId="10" fontId="0" fillId="36" borderId="83" xfId="4688" applyNumberFormat="1" applyFont="1" applyFill="1" applyBorder="1"/>
    <xf numFmtId="0" fontId="0" fillId="36" borderId="0" xfId="0" applyFill="1" applyAlignment="1">
      <alignment wrapText="1"/>
    </xf>
    <xf numFmtId="10" fontId="0" fillId="36" borderId="10" xfId="4688" applyNumberFormat="1" applyFont="1" applyFill="1" applyBorder="1"/>
    <xf numFmtId="2" fontId="0" fillId="0" borderId="82" xfId="0" applyNumberFormat="1" applyFont="1" applyFill="1" applyBorder="1"/>
    <xf numFmtId="164" fontId="46" fillId="22" borderId="0" xfId="439" applyNumberFormat="1" applyFont="1" applyFill="1" applyAlignment="1" applyProtection="1">
      <alignment horizontal="center" vertical="center" wrapText="1"/>
    </xf>
    <xf numFmtId="0" fontId="0" fillId="0" borderId="24" xfId="0" applyNumberFormat="1" applyFont="1" applyFill="1" applyBorder="1" applyAlignment="1" applyProtection="1">
      <alignment horizontal="center" vertical="center" wrapText="1"/>
    </xf>
    <xf numFmtId="164" fontId="60" fillId="29" borderId="23" xfId="439" applyNumberFormat="1" applyFont="1" applyFill="1" applyBorder="1" applyAlignment="1" applyProtection="1">
      <alignment horizontal="center" vertical="center"/>
      <protection locked="0"/>
    </xf>
    <xf numFmtId="0" fontId="0" fillId="0" borderId="0" xfId="0" applyBorder="1"/>
    <xf numFmtId="0" fontId="0" fillId="0" borderId="128" xfId="0" applyBorder="1"/>
    <xf numFmtId="0" fontId="0" fillId="0" borderId="129" xfId="0" applyBorder="1"/>
    <xf numFmtId="0" fontId="0" fillId="0" borderId="15" xfId="0" applyBorder="1"/>
    <xf numFmtId="0" fontId="47" fillId="0" borderId="123" xfId="0" applyFont="1" applyFill="1" applyBorder="1" applyAlignment="1">
      <alignment vertical="center"/>
    </xf>
    <xf numFmtId="0" fontId="0" fillId="0" borderId="130" xfId="0" applyBorder="1"/>
    <xf numFmtId="0" fontId="197" fillId="0" borderId="102" xfId="0" applyFont="1" applyBorder="1" applyAlignment="1">
      <alignment horizontal="center" vertical="center" wrapText="1"/>
    </xf>
    <xf numFmtId="0" fontId="0" fillId="0" borderId="41" xfId="0" applyBorder="1" applyAlignment="1">
      <alignment horizontal="center" wrapText="1"/>
    </xf>
    <xf numFmtId="0" fontId="201" fillId="0" borderId="89" xfId="0" applyFont="1" applyFill="1" applyBorder="1" applyAlignment="1">
      <alignment horizontal="left" vertical="center" wrapText="1"/>
    </xf>
    <xf numFmtId="0" fontId="201" fillId="0" borderId="0" xfId="0" applyFont="1" applyFill="1" applyAlignment="1">
      <alignment horizontal="left" vertical="center" wrapText="1"/>
    </xf>
    <xf numFmtId="0" fontId="201" fillId="0" borderId="15" xfId="0" applyFont="1" applyFill="1" applyBorder="1" applyAlignment="1">
      <alignment horizontal="left" vertical="center" wrapText="1"/>
    </xf>
    <xf numFmtId="0" fontId="202" fillId="0" borderId="15" xfId="0" applyFont="1" applyFill="1" applyBorder="1" applyAlignment="1">
      <alignment horizontal="left" vertical="center" wrapText="1"/>
    </xf>
    <xf numFmtId="0" fontId="202" fillId="0" borderId="0" xfId="0" applyFont="1" applyFill="1" applyAlignment="1">
      <alignment horizontal="left" vertical="center" wrapText="1"/>
    </xf>
    <xf numFmtId="0" fontId="34" fillId="0" borderId="0" xfId="12387" applyFill="1" applyAlignment="1">
      <alignment wrapText="1"/>
    </xf>
    <xf numFmtId="0" fontId="204" fillId="77" borderId="57" xfId="0" applyFont="1" applyFill="1" applyBorder="1" applyAlignment="1">
      <alignment horizontal="center" vertical="center" wrapText="1"/>
    </xf>
    <xf numFmtId="0" fontId="195" fillId="0" borderId="0" xfId="0" applyFont="1"/>
    <xf numFmtId="0" fontId="205" fillId="73" borderId="0" xfId="0" applyFont="1" applyFill="1" applyAlignment="1">
      <alignment horizontal="justify" vertical="center"/>
    </xf>
    <xf numFmtId="0" fontId="205" fillId="73" borderId="0" xfId="0" applyFont="1" applyFill="1" applyAlignment="1">
      <alignment vertical="center"/>
    </xf>
    <xf numFmtId="0" fontId="205" fillId="73" borderId="0" xfId="0" applyFont="1" applyFill="1" applyAlignment="1">
      <alignment vertical="center" wrapText="1"/>
    </xf>
    <xf numFmtId="0" fontId="209" fillId="73" borderId="0" xfId="611" applyFont="1" applyFill="1" applyAlignment="1">
      <alignment vertical="center"/>
    </xf>
    <xf numFmtId="0" fontId="210" fillId="73" borderId="0" xfId="0" applyFont="1" applyFill="1" applyAlignment="1">
      <alignment vertical="center"/>
    </xf>
    <xf numFmtId="0" fontId="211" fillId="73" borderId="0" xfId="611" applyFont="1" applyFill="1" applyAlignment="1" applyProtection="1">
      <alignment vertical="center"/>
      <protection locked="0"/>
    </xf>
    <xf numFmtId="0" fontId="210" fillId="73" borderId="0" xfId="0" applyFont="1" applyFill="1"/>
    <xf numFmtId="0" fontId="211" fillId="73" borderId="0" xfId="611" applyFont="1" applyFill="1" applyProtection="1">
      <protection locked="0"/>
    </xf>
    <xf numFmtId="0" fontId="122" fillId="73" borderId="0" xfId="30098" applyFont="1" applyFill="1" applyAlignment="1">
      <alignment horizontal="left" vertical="center" wrapText="1" indent="1"/>
    </xf>
    <xf numFmtId="0" fontId="122" fillId="73" borderId="0" xfId="30098" quotePrefix="1" applyFont="1" applyFill="1" applyAlignment="1">
      <alignment horizontal="left" vertical="center" wrapText="1" indent="1"/>
    </xf>
    <xf numFmtId="0" fontId="214" fillId="73" borderId="0" xfId="30098" applyFont="1" applyFill="1" applyAlignment="1">
      <alignment vertical="center" wrapText="1"/>
    </xf>
    <xf numFmtId="0" fontId="205" fillId="73" borderId="0" xfId="30098" applyFont="1" applyFill="1" applyAlignment="1">
      <alignment vertical="center" wrapText="1"/>
    </xf>
    <xf numFmtId="0" fontId="211" fillId="73" borderId="0" xfId="611" applyFont="1" applyFill="1" applyAlignment="1">
      <alignment vertical="center"/>
    </xf>
    <xf numFmtId="0" fontId="134" fillId="78" borderId="15" xfId="30099" applyFont="1" applyFill="1" applyBorder="1" applyAlignment="1">
      <alignment vertical="top"/>
    </xf>
    <xf numFmtId="0" fontId="134" fillId="78" borderId="0" xfId="30099" applyFont="1" applyFill="1" applyAlignment="1">
      <alignment vertical="top"/>
    </xf>
    <xf numFmtId="0" fontId="135" fillId="78" borderId="0" xfId="30099" applyFont="1" applyFill="1" applyAlignment="1">
      <alignment vertical="top"/>
    </xf>
    <xf numFmtId="0" fontId="135" fillId="78" borderId="60" xfId="30099" applyFont="1" applyFill="1" applyBorder="1" applyAlignment="1">
      <alignment vertical="top"/>
    </xf>
    <xf numFmtId="0" fontId="40" fillId="78" borderId="84" xfId="0" applyFont="1" applyFill="1" applyBorder="1" applyAlignment="1">
      <alignment horizontal="left"/>
    </xf>
    <xf numFmtId="0" fontId="0" fillId="78" borderId="132" xfId="0" applyFill="1" applyBorder="1"/>
    <xf numFmtId="14" fontId="0" fillId="0" borderId="0" xfId="0" applyNumberFormat="1" applyFont="1" applyProtection="1"/>
    <xf numFmtId="38" fontId="0" fillId="34" borderId="0" xfId="0" applyNumberFormat="1" applyFill="1" applyAlignment="1" applyProtection="1">
      <alignment vertical="center" wrapText="1"/>
      <protection locked="0"/>
    </xf>
    <xf numFmtId="164" fontId="60" fillId="34"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0" fillId="0" borderId="0" xfId="0" applyAlignment="1">
      <alignment vertical="center"/>
    </xf>
    <xf numFmtId="0" fontId="36" fillId="0" borderId="0" xfId="611"/>
    <xf numFmtId="0" fontId="0" fillId="22" borderId="0" xfId="0" applyFill="1"/>
    <xf numFmtId="0" fontId="147" fillId="26" borderId="0" xfId="30099" applyFont="1" applyFill="1" applyAlignment="1">
      <alignment horizontal="right" vertical="center" wrapText="1"/>
    </xf>
    <xf numFmtId="0" fontId="156" fillId="26" borderId="0" xfId="30099" applyFont="1" applyFill="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1" fillId="74" borderId="111"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30" fillId="0" borderId="66" xfId="30099" applyFont="1" applyBorder="1" applyAlignment="1" applyProtection="1">
      <alignment horizontal="left" vertical="center"/>
      <protection locked="0"/>
    </xf>
    <xf numFmtId="0" fontId="130" fillId="0" borderId="67" xfId="30099" applyFont="1" applyBorder="1" applyAlignment="1" applyProtection="1">
      <alignment horizontal="left" vertical="center"/>
      <protection locked="0"/>
    </xf>
    <xf numFmtId="0" fontId="130" fillId="0" borderId="68" xfId="30099" applyFont="1" applyBorder="1" applyAlignment="1" applyProtection="1">
      <alignment horizontal="left" vertical="center"/>
      <protection locked="0"/>
    </xf>
    <xf numFmtId="0" fontId="150" fillId="26" borderId="0" xfId="30099" applyFont="1" applyFill="1" applyAlignment="1">
      <alignment horizontal="right" vertical="center" wrapText="1"/>
    </xf>
    <xf numFmtId="0" fontId="152" fillId="26" borderId="0" xfId="30099" applyFont="1" applyFill="1" applyAlignment="1">
      <alignment horizontal="center" vertical="center" wrapText="1"/>
    </xf>
    <xf numFmtId="0" fontId="142" fillId="26" borderId="0" xfId="30099" applyFont="1" applyFill="1" applyAlignment="1">
      <alignment horizontal="left" vertical="center" wrapText="1"/>
    </xf>
    <xf numFmtId="0" fontId="130" fillId="26" borderId="0" xfId="30099" applyFont="1" applyFill="1" applyAlignment="1">
      <alignment horizontal="left" vertical="center" wrapText="1"/>
    </xf>
    <xf numFmtId="0" fontId="130" fillId="26" borderId="60" xfId="30099" applyFont="1" applyFill="1" applyBorder="1" applyAlignment="1">
      <alignment horizontal="left" vertical="center" wrapText="1"/>
    </xf>
    <xf numFmtId="0" fontId="136" fillId="26" borderId="0" xfId="30099" applyFont="1" applyFill="1" applyAlignment="1">
      <alignment horizontal="left" wrapText="1"/>
    </xf>
    <xf numFmtId="0" fontId="136" fillId="26" borderId="60" xfId="30099" applyFont="1" applyFill="1" applyBorder="1" applyAlignment="1">
      <alignment horizontal="left" wrapText="1"/>
    </xf>
    <xf numFmtId="0" fontId="136" fillId="26" borderId="0" xfId="30099" applyFont="1" applyFill="1" applyBorder="1" applyAlignment="1">
      <alignment horizontal="left" wrapText="1"/>
    </xf>
    <xf numFmtId="0" fontId="130" fillId="26" borderId="0" xfId="30099" applyFont="1" applyFill="1" applyAlignment="1">
      <alignment horizontal="left" vertical="top" wrapText="1"/>
    </xf>
    <xf numFmtId="0" fontId="130" fillId="26" borderId="71" xfId="30099" applyFont="1" applyFill="1" applyBorder="1" applyAlignment="1">
      <alignment horizontal="left" vertical="center" wrapText="1"/>
    </xf>
    <xf numFmtId="0" fontId="146" fillId="26" borderId="41" xfId="30099" applyFont="1" applyFill="1" applyBorder="1" applyAlignment="1">
      <alignment horizontal="center" vertical="center" wrapText="1"/>
    </xf>
    <xf numFmtId="164" fontId="137" fillId="79" borderId="13" xfId="30100" applyNumberFormat="1" applyFont="1" applyFill="1" applyBorder="1" applyAlignment="1">
      <alignment horizontal="center" vertical="center" wrapText="1"/>
    </xf>
    <xf numFmtId="164" fontId="137" fillId="79" borderId="16" xfId="30100" applyNumberFormat="1" applyFont="1" applyFill="1" applyBorder="1" applyAlignment="1">
      <alignment horizontal="center" vertical="center" wrapText="1"/>
    </xf>
    <xf numFmtId="164" fontId="137" fillId="79" borderId="11" xfId="30100" applyNumberFormat="1" applyFont="1" applyFill="1" applyBorder="1" applyAlignment="1">
      <alignment horizontal="center" vertical="center" wrapText="1"/>
    </xf>
    <xf numFmtId="0" fontId="135" fillId="78" borderId="40" xfId="30099" applyFont="1" applyFill="1" applyBorder="1" applyAlignment="1">
      <alignment horizontal="left" wrapText="1"/>
    </xf>
    <xf numFmtId="0" fontId="135" fillId="78" borderId="41" xfId="30099" applyFont="1" applyFill="1" applyBorder="1" applyAlignment="1">
      <alignment horizontal="left" wrapText="1"/>
    </xf>
    <xf numFmtId="0" fontId="135" fillId="78" borderId="42" xfId="30099" applyFont="1" applyFill="1" applyBorder="1" applyAlignment="1">
      <alignment horizontal="left" wrapText="1"/>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131" fillId="78" borderId="13" xfId="30099" applyFont="1" applyFill="1" applyBorder="1" applyAlignment="1">
      <alignment horizontal="center" vertical="center" wrapText="1"/>
    </xf>
    <xf numFmtId="0" fontId="131" fillId="78" borderId="16" xfId="30099" applyFont="1" applyFill="1" applyBorder="1" applyAlignment="1">
      <alignment horizontal="center" vertical="center" wrapText="1"/>
    </xf>
    <xf numFmtId="0" fontId="131" fillId="78" borderId="11" xfId="30099" applyFont="1" applyFill="1" applyBorder="1" applyAlignment="1">
      <alignment horizontal="center" vertical="center" wrapText="1"/>
    </xf>
    <xf numFmtId="0" fontId="131" fillId="78" borderId="13" xfId="30099" applyFont="1" applyFill="1" applyBorder="1" applyAlignment="1">
      <alignment horizontal="center" vertical="top" wrapText="1"/>
    </xf>
    <xf numFmtId="0" fontId="131" fillId="78" borderId="16" xfId="30099" applyFont="1" applyFill="1" applyBorder="1" applyAlignment="1">
      <alignment horizontal="center" vertical="top" wrapText="1"/>
    </xf>
    <xf numFmtId="0" fontId="131" fillId="78" borderId="11" xfId="30099" applyFont="1" applyFill="1" applyBorder="1" applyAlignment="1">
      <alignment horizontal="center" vertical="top" wrapText="1"/>
    </xf>
    <xf numFmtId="164" fontId="133" fillId="79" borderId="13" xfId="30100" applyNumberFormat="1" applyFont="1" applyFill="1" applyBorder="1" applyAlignment="1">
      <alignment horizontal="center" vertical="center"/>
    </xf>
    <xf numFmtId="164" fontId="133" fillId="79" borderId="16" xfId="30100" applyNumberFormat="1" applyFont="1" applyFill="1" applyBorder="1" applyAlignment="1">
      <alignment horizontal="center" vertical="center"/>
    </xf>
    <xf numFmtId="164" fontId="133" fillId="79" borderId="11" xfId="30100" applyNumberFormat="1" applyFont="1" applyFill="1" applyBorder="1" applyAlignment="1">
      <alignment horizontal="center" vertical="center"/>
    </xf>
    <xf numFmtId="0" fontId="147" fillId="0" borderId="66" xfId="30099" applyFont="1" applyBorder="1" applyAlignment="1" applyProtection="1">
      <alignment horizontal="left" vertical="center"/>
      <protection locked="0"/>
    </xf>
    <xf numFmtId="0" fontId="147" fillId="0" borderId="67" xfId="30099" applyFont="1" applyBorder="1" applyAlignment="1" applyProtection="1">
      <alignment horizontal="left" vertical="center"/>
      <protection locked="0"/>
    </xf>
    <xf numFmtId="0" fontId="147" fillId="0" borderId="68" xfId="30099" applyFont="1" applyBorder="1" applyAlignment="1" applyProtection="1">
      <alignment horizontal="left" vertical="center"/>
      <protection locked="0"/>
    </xf>
    <xf numFmtId="0" fontId="144" fillId="26" borderId="0" xfId="30099" applyFont="1" applyFill="1" applyAlignment="1">
      <alignment horizontal="left" vertical="center" wrapText="1"/>
    </xf>
    <xf numFmtId="0" fontId="120" fillId="0" borderId="66" xfId="29597" applyFill="1" applyBorder="1" applyAlignment="1" applyProtection="1">
      <alignment horizontal="left" vertical="center"/>
      <protection locked="0"/>
    </xf>
    <xf numFmtId="0" fontId="130" fillId="0" borderId="13" xfId="30099" applyFont="1" applyBorder="1" applyAlignment="1" applyProtection="1">
      <alignment horizontal="left" vertical="center"/>
      <protection locked="0"/>
    </xf>
    <xf numFmtId="0" fontId="130" fillId="0" borderId="11" xfId="30099" applyFont="1" applyBorder="1" applyAlignment="1" applyProtection="1">
      <alignment horizontal="left" vertical="center"/>
      <protection locked="0"/>
    </xf>
    <xf numFmtId="0" fontId="146" fillId="26" borderId="0" xfId="30099" applyFont="1" applyFill="1" applyAlignment="1">
      <alignment horizontal="center" vertical="center" wrapText="1"/>
    </xf>
    <xf numFmtId="0" fontId="142" fillId="26" borderId="15" xfId="30099" applyFont="1" applyFill="1" applyBorder="1" applyAlignment="1">
      <alignment horizontal="center" vertical="top"/>
    </xf>
    <xf numFmtId="0" fontId="142" fillId="26" borderId="0" xfId="30099" applyFont="1" applyFill="1" applyAlignment="1">
      <alignment horizontal="center" vertical="top"/>
    </xf>
    <xf numFmtId="0" fontId="142" fillId="26" borderId="0" xfId="30099" applyFont="1" applyFill="1" applyAlignment="1">
      <alignment horizontal="center" vertical="top" wrapText="1"/>
    </xf>
    <xf numFmtId="0" fontId="130" fillId="26" borderId="0" xfId="30099" applyFont="1" applyFill="1" applyAlignment="1">
      <alignment horizontal="left" wrapText="1"/>
    </xf>
    <xf numFmtId="0" fontId="130" fillId="26" borderId="71" xfId="30099" applyFont="1" applyFill="1" applyBorder="1" applyAlignment="1">
      <alignment horizontal="left" wrapText="1"/>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40" fillId="78" borderId="57" xfId="0" applyFont="1" applyFill="1" applyBorder="1" applyAlignment="1">
      <alignment horizontal="left" wrapText="1"/>
    </xf>
    <xf numFmtId="0" fontId="196" fillId="0" borderId="13" xfId="0" applyFont="1" applyBorder="1" applyAlignment="1">
      <alignment horizontal="center" vertical="center"/>
    </xf>
    <xf numFmtId="0" fontId="196" fillId="0" borderId="16" xfId="0" applyFont="1" applyBorder="1" applyAlignment="1">
      <alignment horizontal="center" vertical="center"/>
    </xf>
    <xf numFmtId="0" fontId="196" fillId="0" borderId="11" xfId="0" applyFont="1" applyBorder="1" applyAlignment="1">
      <alignment horizontal="center" vertical="center"/>
    </xf>
    <xf numFmtId="0" fontId="61" fillId="34" borderId="13" xfId="0" applyFont="1" applyFill="1" applyBorder="1" applyAlignment="1">
      <alignment horizontal="center" vertical="center" wrapText="1"/>
    </xf>
    <xf numFmtId="0" fontId="61" fillId="34" borderId="16" xfId="0" applyFont="1" applyFill="1" applyBorder="1" applyAlignment="1">
      <alignment horizontal="center" vertical="center" wrapText="1"/>
    </xf>
    <xf numFmtId="0" fontId="61" fillId="34" borderId="11" xfId="0" applyFont="1" applyFill="1" applyBorder="1" applyAlignment="1">
      <alignment horizontal="center" vertical="center" wrapText="1"/>
    </xf>
    <xf numFmtId="0" fontId="0" fillId="78" borderId="133"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73" xfId="0" applyFont="1" applyBorder="1" applyAlignment="1">
      <alignment horizontal="center" vertical="center"/>
    </xf>
    <xf numFmtId="0" fontId="40" fillId="0" borderId="74" xfId="0" applyFont="1" applyBorder="1" applyAlignment="1">
      <alignment horizontal="center" vertical="center"/>
    </xf>
    <xf numFmtId="0" fontId="40" fillId="0" borderId="131" xfId="0" applyFont="1" applyBorder="1" applyAlignment="1">
      <alignment horizontal="center" vertical="center"/>
    </xf>
    <xf numFmtId="0" fontId="40" fillId="0" borderId="41" xfId="0" applyFont="1" applyBorder="1" applyAlignment="1">
      <alignment horizontal="center" vertical="center"/>
    </xf>
    <xf numFmtId="0" fontId="40" fillId="0" borderId="83" xfId="0" applyFont="1" applyBorder="1" applyAlignment="1">
      <alignment horizontal="center" vertical="center"/>
    </xf>
    <xf numFmtId="0" fontId="40" fillId="0" borderId="134" xfId="0" applyFont="1" applyBorder="1" applyAlignment="1">
      <alignment horizontal="center" vertical="center"/>
    </xf>
    <xf numFmtId="0" fontId="50" fillId="0" borderId="102" xfId="0" applyFont="1" applyBorder="1" applyAlignment="1">
      <alignment horizontal="center" vertical="center"/>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61" fillId="78" borderId="13" xfId="0" applyFont="1" applyFill="1" applyBorder="1" applyAlignment="1">
      <alignment horizontal="left" wrapText="1"/>
    </xf>
    <xf numFmtId="0" fontId="61" fillId="78" borderId="16" xfId="0" applyFont="1" applyFill="1" applyBorder="1" applyAlignment="1">
      <alignment horizontal="left" wrapText="1"/>
    </xf>
    <xf numFmtId="0" fontId="61" fillId="78" borderId="125" xfId="0" applyFont="1" applyFill="1" applyBorder="1" applyAlignment="1">
      <alignment horizontal="left" wrapText="1"/>
    </xf>
    <xf numFmtId="0" fontId="196" fillId="0" borderId="40" xfId="0" applyFont="1" applyBorder="1" applyAlignment="1">
      <alignment horizontal="center" vertical="center"/>
    </xf>
    <xf numFmtId="0" fontId="196" fillId="0" borderId="41" xfId="0" applyFont="1" applyBorder="1" applyAlignment="1">
      <alignment horizontal="center" vertical="center"/>
    </xf>
    <xf numFmtId="0" fontId="163" fillId="73" borderId="70" xfId="0" applyFont="1" applyFill="1" applyBorder="1" applyAlignment="1">
      <alignment horizontal="center" vertical="center" wrapText="1"/>
    </xf>
    <xf numFmtId="0" fontId="163" fillId="73" borderId="121" xfId="0" applyFont="1" applyFill="1" applyBorder="1" applyAlignment="1">
      <alignment horizontal="center" vertical="center" wrapText="1"/>
    </xf>
    <xf numFmtId="0" fontId="163" fillId="73" borderId="60" xfId="0" applyFont="1" applyFill="1" applyBorder="1" applyAlignment="1">
      <alignment horizontal="center" vertical="center" wrapText="1"/>
    </xf>
    <xf numFmtId="0" fontId="163" fillId="73" borderId="42" xfId="0" applyFont="1" applyFill="1" applyBorder="1" applyAlignment="1">
      <alignment horizontal="center" vertical="center" wrapText="1"/>
    </xf>
    <xf numFmtId="0" fontId="40" fillId="78" borderId="70" xfId="0" applyFont="1" applyFill="1" applyBorder="1" applyAlignment="1">
      <alignment horizontal="center" vertical="center" wrapText="1"/>
    </xf>
    <xf numFmtId="0" fontId="40" fillId="78" borderId="121" xfId="0" applyFont="1" applyFill="1" applyBorder="1" applyAlignment="1">
      <alignment horizontal="center" vertical="center" wrapText="1"/>
    </xf>
    <xf numFmtId="0" fontId="40" fillId="78" borderId="72" xfId="0" applyFont="1" applyFill="1" applyBorder="1" applyAlignment="1">
      <alignment horizontal="center" vertical="center" wrapText="1"/>
    </xf>
    <xf numFmtId="0" fontId="0" fillId="0" borderId="70" xfId="0" applyFill="1" applyBorder="1" applyAlignment="1">
      <alignment horizontal="center" vertical="center" wrapText="1"/>
    </xf>
    <xf numFmtId="0" fontId="0" fillId="0" borderId="121" xfId="0" applyFill="1" applyBorder="1" applyAlignment="1">
      <alignment horizontal="center" vertical="center" wrapText="1"/>
    </xf>
    <xf numFmtId="0" fontId="0" fillId="0" borderId="72" xfId="0" applyFill="1" applyBorder="1" applyAlignment="1">
      <alignment horizontal="center" vertical="center"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61" fillId="0" borderId="37" xfId="0" applyFont="1" applyBorder="1" applyAlignment="1">
      <alignment horizontal="center" wrapText="1"/>
    </xf>
    <xf numFmtId="0" fontId="61" fillId="0" borderId="38" xfId="0" applyFont="1" applyBorder="1" applyAlignment="1">
      <alignment horizontal="center" wrapText="1"/>
    </xf>
    <xf numFmtId="0" fontId="61" fillId="0" borderId="39" xfId="0" applyFont="1" applyBorder="1" applyAlignment="1">
      <alignment horizontal="center" wrapText="1"/>
    </xf>
    <xf numFmtId="0" fontId="61" fillId="0" borderId="15" xfId="0" applyFont="1" applyBorder="1" applyAlignment="1">
      <alignment horizontal="center" wrapText="1"/>
    </xf>
    <xf numFmtId="0" fontId="61" fillId="0" borderId="0" xfId="0" applyFont="1" applyAlignment="1">
      <alignment horizontal="center" wrapText="1"/>
    </xf>
    <xf numFmtId="0" fontId="61" fillId="0" borderId="60" xfId="0" applyFont="1" applyBorder="1" applyAlignment="1">
      <alignment horizontal="center" wrapText="1"/>
    </xf>
    <xf numFmtId="0" fontId="38" fillId="78" borderId="70" xfId="0" applyFont="1" applyFill="1" applyBorder="1" applyAlignment="1">
      <alignment horizontal="left" vertical="center" wrapText="1"/>
    </xf>
    <xf numFmtId="0" fontId="38" fillId="78" borderId="121" xfId="0" applyFont="1" applyFill="1" applyBorder="1" applyAlignment="1">
      <alignment horizontal="left" vertical="center" wrapText="1"/>
    </xf>
    <xf numFmtId="0" fontId="38" fillId="78" borderId="72" xfId="0" applyFont="1" applyFill="1" applyBorder="1" applyAlignment="1">
      <alignment horizontal="left" vertical="center" wrapText="1"/>
    </xf>
    <xf numFmtId="0" fontId="61" fillId="78" borderId="57" xfId="0" applyFont="1" applyFill="1" applyBorder="1" applyAlignment="1">
      <alignment horizontal="left" wrapText="1"/>
    </xf>
    <xf numFmtId="0" fontId="40" fillId="78" borderId="57" xfId="0" applyFont="1" applyFill="1" applyBorder="1" applyAlignment="1">
      <alignment horizontal="left" vertical="center" wrapText="1"/>
    </xf>
    <xf numFmtId="0" fontId="61" fillId="78" borderId="11" xfId="0" applyFont="1" applyFill="1" applyBorder="1" applyAlignment="1">
      <alignment horizontal="left" wrapText="1"/>
    </xf>
    <xf numFmtId="0" fontId="40" fillId="78" borderId="106" xfId="0" applyFont="1" applyFill="1" applyBorder="1" applyAlignment="1">
      <alignment horizontal="left" wrapText="1"/>
    </xf>
    <xf numFmtId="0" fontId="40" fillId="78" borderId="102"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3" xfId="0" applyFont="1" applyFill="1" applyBorder="1" applyAlignment="1">
      <alignment horizontal="center" vertical="center" wrapText="1"/>
    </xf>
    <xf numFmtId="0" fontId="0" fillId="73" borderId="10" xfId="0" applyFont="1" applyFill="1" applyBorder="1" applyAlignment="1">
      <alignment horizontal="center" vertical="center"/>
    </xf>
    <xf numFmtId="0" fontId="163" fillId="73" borderId="74" xfId="0" applyFont="1" applyFill="1" applyBorder="1" applyAlignment="1">
      <alignment horizontal="center" vertical="center" wrapText="1"/>
    </xf>
    <xf numFmtId="0" fontId="163" fillId="73" borderId="0" xfId="0" applyFont="1" applyFill="1" applyBorder="1" applyAlignment="1">
      <alignment horizontal="center" vertical="center" wrapText="1"/>
    </xf>
    <xf numFmtId="0" fontId="164" fillId="73" borderId="107" xfId="0" applyFont="1" applyFill="1" applyBorder="1" applyAlignment="1">
      <alignment horizontal="center" vertical="center" wrapText="1"/>
    </xf>
    <xf numFmtId="0" fontId="164" fillId="73" borderId="108" xfId="0" applyFont="1" applyFill="1" applyBorder="1" applyAlignment="1">
      <alignment horizontal="center" vertical="center" wrapText="1"/>
    </xf>
    <xf numFmtId="0" fontId="54" fillId="0" borderId="0" xfId="682" applyFont="1" applyAlignment="1">
      <alignment horizontal="left" wrapText="1"/>
    </xf>
    <xf numFmtId="0" fontId="172" fillId="27" borderId="0" xfId="682" applyFont="1" applyFill="1" applyAlignment="1">
      <alignment horizontal="left" vertical="center" wrapText="1"/>
    </xf>
    <xf numFmtId="0" fontId="169"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0" xfId="30099" applyFont="1" applyAlignment="1">
      <alignment horizontal="center" vertical="top" wrapText="1"/>
    </xf>
    <xf numFmtId="0" fontId="46" fillId="0" borderId="0" xfId="30099" applyFont="1" applyAlignment="1">
      <alignment horizontal="left" vertical="top" wrapText="1" indent="4"/>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1" fillId="0" borderId="0" xfId="26000" applyFont="1" applyAlignment="1" applyProtection="1">
      <alignment horizontal="center" vertical="top"/>
    </xf>
    <xf numFmtId="0" fontId="61" fillId="0" borderId="0" xfId="26000" applyFont="1" applyAlignment="1" applyProtection="1">
      <alignment horizontal="center" vertical="top" wrapText="1"/>
    </xf>
    <xf numFmtId="0" fontId="166" fillId="0" borderId="73" xfId="26000" applyFont="1" applyBorder="1" applyAlignment="1" applyProtection="1">
      <alignment horizontal="left" vertical="top" wrapText="1"/>
    </xf>
    <xf numFmtId="0" fontId="166" fillId="0" borderId="74" xfId="26000" applyFont="1" applyBorder="1" applyAlignment="1" applyProtection="1">
      <alignment horizontal="left" vertical="top" wrapText="1"/>
    </xf>
    <xf numFmtId="0" fontId="166" fillId="0" borderId="75" xfId="26000" applyFont="1" applyBorder="1" applyAlignment="1" applyProtection="1">
      <alignment horizontal="left" vertical="top" wrapText="1"/>
    </xf>
    <xf numFmtId="0" fontId="166" fillId="0" borderId="22" xfId="26000" applyFont="1" applyBorder="1" applyAlignment="1" applyProtection="1">
      <alignment horizontal="left" vertical="top" wrapText="1"/>
    </xf>
    <xf numFmtId="0" fontId="166" fillId="0" borderId="0" xfId="26000" applyFont="1" applyAlignment="1" applyProtection="1">
      <alignment horizontal="left" vertical="top" wrapText="1"/>
    </xf>
    <xf numFmtId="0" fontId="166" fillId="0" borderId="56" xfId="26000" applyFont="1" applyBorder="1" applyAlignment="1" applyProtection="1">
      <alignment horizontal="left" vertical="top" wrapText="1"/>
    </xf>
    <xf numFmtId="0" fontId="166" fillId="0" borderId="76" xfId="26000" applyFont="1" applyBorder="1" applyAlignment="1" applyProtection="1">
      <alignment horizontal="left" vertical="top" wrapText="1"/>
    </xf>
    <xf numFmtId="0" fontId="166" fillId="0" borderId="17" xfId="26000" applyFont="1" applyBorder="1" applyAlignment="1" applyProtection="1">
      <alignment horizontal="left" vertical="top" wrapText="1"/>
    </xf>
    <xf numFmtId="0" fontId="166" fillId="0" borderId="77" xfId="26000" applyFont="1" applyBorder="1" applyAlignment="1" applyProtection="1">
      <alignment horizontal="left" vertical="top" wrapText="1"/>
    </xf>
    <xf numFmtId="0" fontId="61" fillId="0" borderId="41" xfId="26000" applyFont="1" applyBorder="1" applyAlignment="1" applyProtection="1">
      <alignment horizontal="left"/>
    </xf>
  </cellXfs>
  <cellStyles count="3172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3 2" xfId="31723" xr:uid="{ADC4D68C-F90E-4C6C-8203-72179316E7A5}"/>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A441EA5B-2FF8-46E2-873B-48094FD73FDF}"/>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8"/>
      <tableStyleElement type="headerRow" dxfId="127"/>
      <tableStyleElement type="firstRowStripe" dxfId="126"/>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1952621</xdr:colOff>
      <xdr:row>46</xdr:row>
      <xdr:rowOff>295275</xdr:rowOff>
    </xdr:from>
    <xdr:to>
      <xdr:col>5</xdr:col>
      <xdr:colOff>3507101</xdr:colOff>
      <xdr:row>52</xdr:row>
      <xdr:rowOff>38100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48346" y="4819650"/>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10" sqref="B10"/>
    </sheetView>
  </sheetViews>
  <sheetFormatPr defaultColWidth="9.140625" defaultRowHeight="15" x14ac:dyDescent="0.25"/>
  <cols>
    <col min="1" max="1" width="1.7109375" style="268" customWidth="1"/>
    <col min="2" max="2" width="187.140625" style="268" customWidth="1"/>
    <col min="3" max="4" width="9.140625" style="268" hidden="1" customWidth="1"/>
    <col min="5" max="5" width="2.28515625" style="268" customWidth="1"/>
    <col min="6" max="6" width="8.140625" style="268" customWidth="1"/>
    <col min="7" max="16384" width="9.140625" style="268"/>
  </cols>
  <sheetData>
    <row r="1" spans="2:14" ht="9.6" customHeight="1" thickBot="1" x14ac:dyDescent="0.3">
      <c r="B1" s="175"/>
    </row>
    <row r="2" spans="2:14" ht="91.9" customHeight="1" thickBot="1" x14ac:dyDescent="0.3">
      <c r="B2" s="1159" t="s">
        <v>1566</v>
      </c>
    </row>
    <row r="3" spans="2:14" ht="61.15" customHeight="1" x14ac:dyDescent="0.25">
      <c r="B3" s="186" t="s">
        <v>1567</v>
      </c>
    </row>
    <row r="4" spans="2:14" ht="83.45" customHeight="1" x14ac:dyDescent="0.35">
      <c r="B4" s="186" t="s">
        <v>1592</v>
      </c>
      <c r="F4" s="1160"/>
      <c r="G4" s="1160"/>
      <c r="H4" s="1160"/>
      <c r="I4" s="1160"/>
      <c r="J4" s="1160"/>
      <c r="K4" s="1160"/>
      <c r="L4" s="1160"/>
      <c r="M4" s="1160"/>
      <c r="N4" s="1160"/>
    </row>
    <row r="5" spans="2:14" ht="58.15" customHeight="1" x14ac:dyDescent="0.25">
      <c r="B5" s="186" t="s">
        <v>1568</v>
      </c>
    </row>
    <row r="6" spans="2:14" ht="117.6" customHeight="1" x14ac:dyDescent="0.25">
      <c r="B6" s="176" t="s">
        <v>1569</v>
      </c>
    </row>
    <row r="7" spans="2:14" ht="25.9" customHeight="1" x14ac:dyDescent="0.25">
      <c r="B7" s="188" t="s">
        <v>593</v>
      </c>
    </row>
    <row r="8" spans="2:14" ht="49.15" customHeight="1" x14ac:dyDescent="0.25">
      <c r="B8" s="1161" t="s">
        <v>1570</v>
      </c>
    </row>
    <row r="9" spans="2:14" ht="42.6" customHeight="1" x14ac:dyDescent="0.25">
      <c r="B9" s="1161" t="s">
        <v>594</v>
      </c>
    </row>
    <row r="10" spans="2:14" s="1184" customFormat="1" ht="34.15" customHeight="1" x14ac:dyDescent="0.25">
      <c r="B10" s="1162" t="s">
        <v>595</v>
      </c>
    </row>
    <row r="11" spans="2:14" s="1184" customFormat="1" ht="55.9" customHeight="1" x14ac:dyDescent="0.25">
      <c r="B11" s="1163" t="s">
        <v>1571</v>
      </c>
    </row>
    <row r="12" spans="2:14" ht="36" customHeight="1" x14ac:dyDescent="0.25">
      <c r="B12" s="1163" t="s">
        <v>1572</v>
      </c>
    </row>
    <row r="13" spans="2:14" ht="39" customHeight="1" x14ac:dyDescent="0.25">
      <c r="B13" s="1164" t="s">
        <v>1573</v>
      </c>
    </row>
    <row r="14" spans="2:14" ht="25.9" customHeight="1" x14ac:dyDescent="0.25">
      <c r="B14" s="188" t="s">
        <v>596</v>
      </c>
    </row>
    <row r="15" spans="2:14" x14ac:dyDescent="0.25">
      <c r="B15" s="175"/>
    </row>
    <row r="16" spans="2:14" x14ac:dyDescent="0.25">
      <c r="B16" s="1165" t="s">
        <v>37</v>
      </c>
    </row>
    <row r="17" spans="2:2" ht="15.6" customHeight="1" x14ac:dyDescent="0.25">
      <c r="B17" s="1166" t="s">
        <v>1574</v>
      </c>
    </row>
    <row r="18" spans="2:2" x14ac:dyDescent="0.25">
      <c r="B18" s="1167"/>
    </row>
    <row r="19" spans="2:2" x14ac:dyDescent="0.25">
      <c r="B19" s="1165" t="s">
        <v>38</v>
      </c>
    </row>
    <row r="20" spans="2:2" ht="15.6" customHeight="1" x14ac:dyDescent="0.25">
      <c r="B20" s="1168" t="s">
        <v>413</v>
      </c>
    </row>
    <row r="21" spans="2:2" ht="13.15" customHeight="1" x14ac:dyDescent="0.25">
      <c r="B21" s="175"/>
    </row>
    <row r="22" spans="2:2" ht="25.9" customHeight="1" x14ac:dyDescent="0.25">
      <c r="B22" s="188" t="s">
        <v>597</v>
      </c>
    </row>
    <row r="23" spans="2:2" s="1184" customFormat="1" ht="72.599999999999994" customHeight="1" x14ac:dyDescent="0.25">
      <c r="B23" s="1161" t="s">
        <v>1575</v>
      </c>
    </row>
    <row r="24" spans="2:2" s="1184" customFormat="1" ht="84.6" customHeight="1" x14ac:dyDescent="0.25">
      <c r="B24" s="1161" t="s">
        <v>1576</v>
      </c>
    </row>
    <row r="25" spans="2:2" s="1184" customFormat="1" ht="78.599999999999994" customHeight="1" x14ac:dyDescent="0.25">
      <c r="B25" s="1161" t="s">
        <v>598</v>
      </c>
    </row>
    <row r="26" spans="2:2" ht="15.75" x14ac:dyDescent="0.25">
      <c r="B26" s="178" t="s">
        <v>1577</v>
      </c>
    </row>
    <row r="27" spans="2:2" ht="8.4499999999999993" customHeight="1" x14ac:dyDescent="0.25">
      <c r="B27" s="177"/>
    </row>
    <row r="28" spans="2:2" ht="25.9" customHeight="1" x14ac:dyDescent="0.25">
      <c r="B28" s="188" t="s">
        <v>1578</v>
      </c>
    </row>
    <row r="29" spans="2:2" ht="28.9" customHeight="1" x14ac:dyDescent="0.25">
      <c r="B29" s="189" t="s">
        <v>1579</v>
      </c>
    </row>
    <row r="30" spans="2:2" ht="31.9" customHeight="1" x14ac:dyDescent="0.25">
      <c r="B30" s="189" t="s">
        <v>1580</v>
      </c>
    </row>
    <row r="31" spans="2:2" ht="30.6" customHeight="1" x14ac:dyDescent="0.25">
      <c r="B31" s="1169" t="s">
        <v>1581</v>
      </c>
    </row>
    <row r="32" spans="2:2" ht="25.15" customHeight="1" x14ac:dyDescent="0.25">
      <c r="B32" s="1169" t="s">
        <v>1582</v>
      </c>
    </row>
    <row r="33" spans="2:7" ht="27.6" customHeight="1" x14ac:dyDescent="0.25">
      <c r="B33" s="1170" t="s">
        <v>1583</v>
      </c>
    </row>
    <row r="34" spans="2:7" ht="31.9" customHeight="1" x14ac:dyDescent="0.25">
      <c r="B34" s="1171" t="s">
        <v>1584</v>
      </c>
    </row>
    <row r="35" spans="2:7" ht="60" customHeight="1" x14ac:dyDescent="0.25">
      <c r="B35" s="189" t="s">
        <v>1585</v>
      </c>
    </row>
    <row r="36" spans="2:7" ht="25.9" customHeight="1" x14ac:dyDescent="0.25">
      <c r="B36" s="189" t="s">
        <v>1586</v>
      </c>
    </row>
    <row r="37" spans="2:7" ht="12" customHeight="1" x14ac:dyDescent="0.25">
      <c r="B37" s="189"/>
    </row>
    <row r="38" spans="2:7" ht="25.9" customHeight="1" x14ac:dyDescent="0.25">
      <c r="B38" s="188" t="s">
        <v>853</v>
      </c>
    </row>
    <row r="39" spans="2:7" x14ac:dyDescent="0.25">
      <c r="B39" s="187"/>
      <c r="G39" s="1185"/>
    </row>
    <row r="40" spans="2:7" ht="43.15" customHeight="1" x14ac:dyDescent="0.25">
      <c r="B40" s="1172" t="s">
        <v>1587</v>
      </c>
    </row>
    <row r="41" spans="2:7" ht="19.899999999999999" customHeight="1" x14ac:dyDescent="0.25">
      <c r="B41" s="1173" t="s">
        <v>1573</v>
      </c>
    </row>
    <row r="42" spans="2:7" ht="11.45" customHeight="1" x14ac:dyDescent="0.25">
      <c r="B42" s="190"/>
    </row>
    <row r="43" spans="2:7" ht="15.75" x14ac:dyDescent="0.25">
      <c r="B43" s="191"/>
    </row>
    <row r="44" spans="2:7" ht="7.15" customHeight="1" x14ac:dyDescent="0.25">
      <c r="B44" s="189"/>
    </row>
    <row r="45" spans="2:7" ht="25.9" customHeight="1" x14ac:dyDescent="0.25">
      <c r="B45" s="188" t="s">
        <v>854</v>
      </c>
    </row>
    <row r="46" spans="2:7" ht="35.450000000000003" customHeight="1" x14ac:dyDescent="0.25">
      <c r="B46" s="1172" t="s">
        <v>1588</v>
      </c>
    </row>
    <row r="47" spans="2:7" ht="15.75" x14ac:dyDescent="0.25">
      <c r="B47" s="191"/>
    </row>
    <row r="58" ht="44.25" customHeight="1" x14ac:dyDescent="0.25"/>
  </sheetData>
  <sheetProtection algorithmName="SHA-512" hashValue="Rd7t5ohTgUsdLfTycsGAhJCaYuTyYG2vQjk9S1TYyPC6neiE/Ve870YcpCmDrxrtT0RMNLPPAZMvGXrIgtb6EA==" saltValue="GAID/TmaHoO3Opy2BMcKsw==" spinCount="100000" sheet="1" formatCells="0" formatColumns="0" formatRows="0"/>
  <hyperlinks>
    <hyperlink ref="B17" r:id="rId1" xr:uid="{7C52177B-0BCE-406B-B4B8-A2F2A603F95B}"/>
    <hyperlink ref="B20" r:id="rId2" xr:uid="{28ABEA2F-538D-41F0-9A6B-EE8258F644D5}"/>
    <hyperlink ref="B41" r:id="rId3" xr:uid="{28D2F441-BC54-498C-BCB2-0EDC32436773}"/>
    <hyperlink ref="B13" r:id="rId4" xr:uid="{C466DA46-CBE8-4BFC-9231-0DD6F02B1358}"/>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W792"/>
  <sheetViews>
    <sheetView zoomScaleNormal="100" workbookViewId="0"/>
  </sheetViews>
  <sheetFormatPr defaultColWidth="9.140625" defaultRowHeight="15" x14ac:dyDescent="0.25"/>
  <cols>
    <col min="1" max="1" width="8" style="99" customWidth="1"/>
    <col min="2" max="2" width="13.140625" style="318" customWidth="1"/>
    <col min="3" max="3" width="6.28515625" style="99" customWidth="1"/>
    <col min="4" max="4" width="33.7109375" style="99" customWidth="1"/>
    <col min="5" max="16" width="19.28515625" style="99" bestFit="1" customWidth="1"/>
    <col min="17" max="18" width="26.85546875" style="99" bestFit="1" customWidth="1"/>
    <col min="19" max="37" width="19.28515625" style="99" bestFit="1" customWidth="1"/>
    <col min="38" max="38" width="22" style="99" bestFit="1" customWidth="1"/>
    <col min="39" max="47" width="19.28515625" style="99" bestFit="1" customWidth="1"/>
    <col min="48" max="48" width="16.5703125" style="99" bestFit="1" customWidth="1"/>
    <col min="49" max="50" width="14.42578125" style="99" bestFit="1" customWidth="1"/>
    <col min="51" max="53" width="15.5703125" style="99" bestFit="1" customWidth="1"/>
    <col min="54" max="54" width="14" style="99" bestFit="1" customWidth="1"/>
    <col min="55" max="55" width="15.5703125" style="99" bestFit="1" customWidth="1"/>
    <col min="56" max="56" width="9.85546875" style="99" bestFit="1" customWidth="1"/>
    <col min="57" max="57" width="13.42578125" style="99" bestFit="1" customWidth="1"/>
    <col min="58" max="58" width="17" style="99" bestFit="1" customWidth="1"/>
    <col min="59" max="59" width="10.5703125" style="99" bestFit="1" customWidth="1"/>
    <col min="60" max="60" width="13.42578125" style="99" bestFit="1" customWidth="1"/>
    <col min="61" max="61" width="15.5703125" style="99" bestFit="1" customWidth="1"/>
    <col min="62" max="62" width="15.42578125" style="99" bestFit="1" customWidth="1"/>
    <col min="63" max="63" width="9.85546875" style="99" bestFit="1" customWidth="1"/>
    <col min="64" max="65" width="15.5703125" style="99" bestFit="1" customWidth="1"/>
    <col min="66" max="66" width="13.42578125" style="99" bestFit="1" customWidth="1"/>
    <col min="67" max="67" width="15.5703125" style="99" bestFit="1" customWidth="1"/>
    <col min="68" max="68" width="15.42578125" style="99" bestFit="1" customWidth="1"/>
    <col min="69" max="69" width="14.85546875" style="99" bestFit="1" customWidth="1"/>
    <col min="70" max="70" width="16.28515625" style="99" bestFit="1" customWidth="1"/>
    <col min="71" max="71" width="14.85546875" style="99" bestFit="1" customWidth="1"/>
    <col min="72" max="72" width="17" style="99" bestFit="1" customWidth="1"/>
    <col min="73" max="73" width="14.7109375" style="99" bestFit="1" customWidth="1"/>
    <col min="74" max="74" width="15.5703125" style="99" bestFit="1" customWidth="1"/>
    <col min="75" max="75" width="14.42578125" style="99" bestFit="1" customWidth="1"/>
    <col min="76" max="76" width="15.5703125" style="99" bestFit="1" customWidth="1"/>
    <col min="77" max="78" width="13.42578125" style="99" bestFit="1" customWidth="1"/>
    <col min="79" max="79" width="15.5703125" style="99" bestFit="1" customWidth="1"/>
    <col min="80" max="80" width="13.42578125" style="99" bestFit="1" customWidth="1"/>
    <col min="81" max="16384" width="9.140625" style="99"/>
  </cols>
  <sheetData>
    <row r="1" spans="1:101" s="1077" customFormat="1" ht="75" x14ac:dyDescent="0.25">
      <c r="A1" s="1066" t="s">
        <v>1539</v>
      </c>
      <c r="B1" s="1066" t="s">
        <v>1540</v>
      </c>
      <c r="C1" s="99"/>
      <c r="D1" s="99"/>
      <c r="E1" s="1078" t="s">
        <v>1402</v>
      </c>
      <c r="F1" s="1066" t="s">
        <v>1403</v>
      </c>
      <c r="G1" s="1066" t="s">
        <v>1404</v>
      </c>
      <c r="H1" s="1066" t="s">
        <v>1405</v>
      </c>
      <c r="I1" s="1066" t="s">
        <v>1406</v>
      </c>
      <c r="J1" s="1066" t="s">
        <v>1407</v>
      </c>
      <c r="K1" s="1078" t="s">
        <v>1408</v>
      </c>
      <c r="L1" s="1078" t="s">
        <v>1409</v>
      </c>
      <c r="M1" s="1066" t="s">
        <v>1410</v>
      </c>
      <c r="N1" s="1066" t="s">
        <v>1411</v>
      </c>
      <c r="O1" s="1066" t="s">
        <v>1412</v>
      </c>
      <c r="P1" s="1066" t="s">
        <v>1413</v>
      </c>
      <c r="Q1" s="1066" t="s">
        <v>1414</v>
      </c>
      <c r="R1" s="1066" t="s">
        <v>1415</v>
      </c>
      <c r="S1" s="1066" t="s">
        <v>1416</v>
      </c>
      <c r="T1" s="1066" t="s">
        <v>1417</v>
      </c>
      <c r="U1" s="1066" t="s">
        <v>1418</v>
      </c>
      <c r="V1" s="1066" t="s">
        <v>1419</v>
      </c>
      <c r="W1" s="1066" t="s">
        <v>1420</v>
      </c>
      <c r="X1" s="1066" t="s">
        <v>1421</v>
      </c>
      <c r="Y1" s="1066" t="s">
        <v>1422</v>
      </c>
      <c r="Z1" s="1066" t="s">
        <v>1423</v>
      </c>
      <c r="AA1" s="1066" t="s">
        <v>1424</v>
      </c>
      <c r="AB1" s="1066" t="s">
        <v>1425</v>
      </c>
      <c r="AC1" s="1066" t="s">
        <v>1426</v>
      </c>
      <c r="AD1" s="1066" t="s">
        <v>1427</v>
      </c>
      <c r="AE1" s="1066" t="s">
        <v>1428</v>
      </c>
      <c r="AF1" s="1066" t="s">
        <v>1429</v>
      </c>
      <c r="AG1" s="1066" t="s">
        <v>1430</v>
      </c>
      <c r="AH1" s="1066" t="s">
        <v>1431</v>
      </c>
      <c r="AI1" s="1066" t="s">
        <v>1432</v>
      </c>
      <c r="AJ1" s="1066" t="s">
        <v>1433</v>
      </c>
      <c r="AK1" s="1066" t="s">
        <v>1434</v>
      </c>
      <c r="AL1" s="1066" t="s">
        <v>1435</v>
      </c>
      <c r="AM1" s="1066" t="s">
        <v>1436</v>
      </c>
      <c r="AN1" s="1066" t="s">
        <v>1437</v>
      </c>
      <c r="AO1" s="1066" t="s">
        <v>1438</v>
      </c>
      <c r="AP1" s="1066" t="s">
        <v>1439</v>
      </c>
      <c r="AQ1" s="1066" t="s">
        <v>1440</v>
      </c>
      <c r="AR1" s="1066" t="s">
        <v>1441</v>
      </c>
      <c r="AS1" s="1066" t="s">
        <v>1442</v>
      </c>
      <c r="AT1" s="1066" t="s">
        <v>1443</v>
      </c>
      <c r="AU1" s="1066" t="s">
        <v>1444</v>
      </c>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row>
    <row r="2" spans="1:101" s="1077" customFormat="1" x14ac:dyDescent="0.25">
      <c r="A2" s="1079"/>
      <c r="B2" s="99"/>
      <c r="C2" s="1079"/>
      <c r="D2" s="1079"/>
      <c r="E2" s="1080">
        <v>602182</v>
      </c>
      <c r="F2" s="1081">
        <v>601701</v>
      </c>
      <c r="G2" s="1081">
        <v>601702</v>
      </c>
      <c r="H2" s="1081">
        <v>601703</v>
      </c>
      <c r="I2" s="1081">
        <v>604187</v>
      </c>
      <c r="J2" s="1080">
        <v>601707</v>
      </c>
      <c r="K2" s="1079">
        <v>601708</v>
      </c>
      <c r="L2" s="1082">
        <v>601795</v>
      </c>
      <c r="M2" s="1079">
        <v>602352</v>
      </c>
      <c r="N2" s="1079">
        <v>60952</v>
      </c>
      <c r="O2" s="1079">
        <v>601717</v>
      </c>
      <c r="P2" s="1079">
        <v>601719</v>
      </c>
      <c r="Q2" s="1079">
        <v>601720</v>
      </c>
      <c r="R2" s="1079">
        <v>601504</v>
      </c>
      <c r="S2" s="1079">
        <v>601723</v>
      </c>
      <c r="T2" s="1079">
        <v>601781</v>
      </c>
      <c r="U2" s="1079">
        <v>601782</v>
      </c>
      <c r="V2" s="1079">
        <v>601724</v>
      </c>
      <c r="W2" s="1079">
        <v>601725</v>
      </c>
      <c r="X2" s="1079">
        <v>601726</v>
      </c>
      <c r="Y2" s="1079">
        <v>602154</v>
      </c>
      <c r="Z2" s="1079">
        <v>604030</v>
      </c>
      <c r="AA2" s="1082">
        <v>601738</v>
      </c>
      <c r="AB2" s="1082">
        <v>601744</v>
      </c>
      <c r="AC2" s="1082">
        <v>601745</v>
      </c>
      <c r="AD2" s="1082">
        <v>601746</v>
      </c>
      <c r="AE2" s="1082">
        <v>601748</v>
      </c>
      <c r="AF2" s="1082">
        <v>601790</v>
      </c>
      <c r="AG2" s="1082">
        <v>602369</v>
      </c>
      <c r="AH2" s="1082">
        <v>601760</v>
      </c>
      <c r="AI2" s="1082">
        <v>601761</v>
      </c>
      <c r="AJ2" s="1082">
        <v>601797</v>
      </c>
      <c r="AK2" s="1082">
        <v>602153</v>
      </c>
      <c r="AL2" s="1082">
        <v>601764</v>
      </c>
      <c r="AM2" s="1082">
        <v>602389</v>
      </c>
      <c r="AN2" s="1082">
        <v>601765</v>
      </c>
      <c r="AO2" s="1082">
        <v>602178</v>
      </c>
      <c r="AP2" s="1082">
        <v>602390</v>
      </c>
      <c r="AQ2" s="1082">
        <v>602391</v>
      </c>
      <c r="AR2" s="1082">
        <v>602414</v>
      </c>
      <c r="AS2" s="1082">
        <v>602395</v>
      </c>
      <c r="AT2" s="1082">
        <v>602333</v>
      </c>
      <c r="AU2" s="1082">
        <v>601774</v>
      </c>
      <c r="AV2" s="1079"/>
      <c r="AW2" s="1079"/>
      <c r="AX2" s="1079"/>
      <c r="AY2" s="1079"/>
      <c r="AZ2" s="1079"/>
      <c r="BA2" s="1079"/>
      <c r="BB2" s="1079"/>
      <c r="BC2" s="1079"/>
      <c r="BD2" s="1079"/>
      <c r="BE2" s="1079"/>
      <c r="BF2" s="1079"/>
      <c r="BG2" s="1079"/>
      <c r="BH2" s="1079"/>
      <c r="BI2" s="1079"/>
      <c r="BJ2" s="1079"/>
      <c r="BK2" s="1079"/>
      <c r="BL2" s="1079"/>
      <c r="BM2" s="1079"/>
      <c r="BN2" s="1079"/>
      <c r="BO2" s="1079"/>
      <c r="BP2" s="1079"/>
      <c r="BQ2" s="1079"/>
      <c r="BR2" s="1079"/>
      <c r="BS2" s="1079"/>
      <c r="BT2" s="1079"/>
      <c r="BU2" s="1079"/>
      <c r="BV2" s="1079"/>
      <c r="BW2" s="1079"/>
      <c r="BX2" s="1079"/>
      <c r="BY2" s="1079"/>
      <c r="BZ2" s="1079"/>
      <c r="CA2" s="1079"/>
      <c r="CB2" s="1079"/>
      <c r="CC2" s="1079"/>
      <c r="CD2" s="1079"/>
      <c r="CE2" s="1079"/>
      <c r="CF2" s="1079"/>
      <c r="CG2" s="1079"/>
      <c r="CH2" s="1079"/>
      <c r="CI2" s="1079"/>
      <c r="CJ2" s="1079"/>
      <c r="CK2" s="1079"/>
      <c r="CL2" s="1079"/>
      <c r="CM2" s="1079"/>
      <c r="CN2" s="1079"/>
      <c r="CO2" s="1079"/>
      <c r="CP2" s="1079"/>
      <c r="CQ2" s="1079"/>
      <c r="CR2" s="1079"/>
      <c r="CS2" s="1079"/>
      <c r="CT2" s="1079"/>
      <c r="CU2" s="1079"/>
      <c r="CV2" s="1079"/>
      <c r="CW2" s="1079"/>
    </row>
    <row r="3" spans="1:101" s="1077" customFormat="1" x14ac:dyDescent="0.25">
      <c r="A3" s="99">
        <v>4</v>
      </c>
      <c r="B3" s="1083">
        <v>4</v>
      </c>
      <c r="C3" s="1084">
        <v>4</v>
      </c>
      <c r="D3" s="1085" t="s">
        <v>383</v>
      </c>
      <c r="E3" s="1086">
        <v>0</v>
      </c>
      <c r="F3" s="1067">
        <v>0</v>
      </c>
      <c r="G3" s="1067">
        <v>1202652</v>
      </c>
      <c r="H3" s="1067">
        <v>0</v>
      </c>
      <c r="I3" s="1067">
        <v>0</v>
      </c>
      <c r="J3" s="1068">
        <v>8068</v>
      </c>
      <c r="K3" s="1082">
        <v>156158</v>
      </c>
      <c r="L3" s="1079">
        <v>0</v>
      </c>
      <c r="M3" s="1079">
        <v>0</v>
      </c>
      <c r="N3" s="1079">
        <v>0</v>
      </c>
      <c r="O3" s="1079">
        <v>0</v>
      </c>
      <c r="P3" s="1079">
        <v>0</v>
      </c>
      <c r="Q3" s="1079">
        <v>0</v>
      </c>
      <c r="R3" s="1079">
        <v>0</v>
      </c>
      <c r="S3" s="1079">
        <v>37</v>
      </c>
      <c r="T3" s="1079">
        <v>0</v>
      </c>
      <c r="U3" s="1079">
        <v>2970</v>
      </c>
      <c r="V3" s="1079">
        <v>149372</v>
      </c>
      <c r="W3" s="1079">
        <v>0</v>
      </c>
      <c r="X3" s="1079">
        <v>553</v>
      </c>
      <c r="Y3" s="1079">
        <v>0</v>
      </c>
      <c r="Z3" s="1079">
        <v>1944</v>
      </c>
      <c r="AA3" s="1082">
        <v>50457</v>
      </c>
      <c r="AB3" s="1082">
        <v>0</v>
      </c>
      <c r="AC3" s="1082">
        <v>0</v>
      </c>
      <c r="AD3" s="1082">
        <v>4683</v>
      </c>
      <c r="AE3" s="1082">
        <v>4069</v>
      </c>
      <c r="AF3" s="1082">
        <v>8502315</v>
      </c>
      <c r="AG3" s="1082">
        <v>0</v>
      </c>
      <c r="AH3" s="1082">
        <v>0</v>
      </c>
      <c r="AI3" s="1082">
        <v>0</v>
      </c>
      <c r="AJ3" s="1082">
        <v>713995</v>
      </c>
      <c r="AK3" s="1082">
        <v>36070</v>
      </c>
      <c r="AL3" s="1082">
        <v>1371087</v>
      </c>
      <c r="AM3" s="1082">
        <v>754</v>
      </c>
      <c r="AN3" s="1082">
        <v>0</v>
      </c>
      <c r="AO3" s="1082">
        <v>866</v>
      </c>
      <c r="AP3" s="1082">
        <v>368</v>
      </c>
      <c r="AQ3" s="1082">
        <v>12511</v>
      </c>
      <c r="AR3" s="1082">
        <v>50335</v>
      </c>
      <c r="AS3" s="1082">
        <v>0</v>
      </c>
      <c r="AT3" s="1082">
        <v>0</v>
      </c>
      <c r="AU3" s="1082">
        <v>0</v>
      </c>
      <c r="AV3" s="1087"/>
      <c r="AW3" s="1087"/>
      <c r="AX3" s="1087"/>
      <c r="AY3" s="1087"/>
      <c r="AZ3" s="1087"/>
      <c r="BA3" s="1087"/>
      <c r="BB3" s="1087"/>
      <c r="BC3" s="1087"/>
      <c r="BD3" s="1087"/>
      <c r="BE3" s="1087"/>
      <c r="BF3" s="1087"/>
      <c r="BG3" s="1087"/>
      <c r="BH3" s="1087"/>
      <c r="BI3" s="1087"/>
      <c r="BJ3" s="1087"/>
      <c r="BK3" s="1087"/>
      <c r="BL3" s="1087"/>
      <c r="BM3" s="1087"/>
      <c r="BN3" s="1087"/>
      <c r="BO3" s="1087"/>
      <c r="BP3" s="1087"/>
      <c r="BQ3" s="1087"/>
      <c r="BR3" s="1087"/>
      <c r="BS3" s="1087"/>
      <c r="BT3" s="1087"/>
      <c r="BU3" s="1087"/>
      <c r="BV3" s="1087"/>
      <c r="BW3" s="1087"/>
      <c r="BX3" s="1087"/>
      <c r="BY3" s="1087"/>
      <c r="BZ3" s="1087"/>
      <c r="CA3" s="1087"/>
      <c r="CB3" s="1087"/>
      <c r="CC3" s="1087"/>
      <c r="CD3" s="1087"/>
      <c r="CE3" s="1087"/>
      <c r="CF3" s="1087"/>
      <c r="CG3" s="1087"/>
      <c r="CH3" s="1087"/>
      <c r="CI3" s="1087"/>
      <c r="CJ3" s="1087"/>
      <c r="CK3" s="1087"/>
      <c r="CL3" s="1087"/>
      <c r="CM3" s="1087"/>
      <c r="CN3" s="1087"/>
      <c r="CO3" s="1087"/>
      <c r="CP3" s="1087"/>
      <c r="CQ3" s="1087"/>
      <c r="CR3" s="1087"/>
      <c r="CS3" s="1087"/>
      <c r="CT3" s="1087"/>
      <c r="CU3" s="1087"/>
      <c r="CV3" s="1087"/>
      <c r="CW3" s="1087"/>
    </row>
    <row r="4" spans="1:101" s="1077" customFormat="1" ht="30" x14ac:dyDescent="0.25">
      <c r="A4" s="99">
        <v>5</v>
      </c>
      <c r="B4" s="1088">
        <v>5</v>
      </c>
      <c r="C4" s="1084">
        <v>5</v>
      </c>
      <c r="D4" s="1085" t="s">
        <v>120</v>
      </c>
      <c r="E4" s="1086">
        <v>0</v>
      </c>
      <c r="F4" s="1067">
        <v>0</v>
      </c>
      <c r="G4" s="1067">
        <v>0</v>
      </c>
      <c r="H4" s="1067">
        <v>0</v>
      </c>
      <c r="I4" s="1067">
        <v>0</v>
      </c>
      <c r="J4" s="1068">
        <v>0</v>
      </c>
      <c r="K4" s="1082">
        <v>0</v>
      </c>
      <c r="L4" s="1079">
        <v>0</v>
      </c>
      <c r="M4" s="1079">
        <v>0</v>
      </c>
      <c r="N4" s="1079">
        <v>0</v>
      </c>
      <c r="O4" s="1079">
        <v>0</v>
      </c>
      <c r="P4" s="1079">
        <v>0</v>
      </c>
      <c r="Q4" s="1079">
        <v>0</v>
      </c>
      <c r="R4" s="1079">
        <v>0</v>
      </c>
      <c r="S4" s="1079">
        <v>0</v>
      </c>
      <c r="T4" s="1079">
        <v>0</v>
      </c>
      <c r="U4" s="1079">
        <v>0</v>
      </c>
      <c r="V4" s="1079">
        <v>0</v>
      </c>
      <c r="W4" s="1079">
        <v>0</v>
      </c>
      <c r="X4" s="1079">
        <v>0</v>
      </c>
      <c r="Y4" s="1079">
        <v>0</v>
      </c>
      <c r="Z4" s="1079">
        <v>0</v>
      </c>
      <c r="AA4" s="1082">
        <v>0</v>
      </c>
      <c r="AB4" s="1082">
        <v>0</v>
      </c>
      <c r="AC4" s="1082">
        <v>0</v>
      </c>
      <c r="AD4" s="1082">
        <v>0</v>
      </c>
      <c r="AE4" s="1082">
        <v>0</v>
      </c>
      <c r="AF4" s="1082">
        <v>0</v>
      </c>
      <c r="AG4" s="1082">
        <v>0</v>
      </c>
      <c r="AH4" s="1082">
        <v>0</v>
      </c>
      <c r="AI4" s="1082">
        <v>0</v>
      </c>
      <c r="AJ4" s="1082">
        <v>0</v>
      </c>
      <c r="AK4" s="1082">
        <v>0</v>
      </c>
      <c r="AL4" s="1082">
        <v>0</v>
      </c>
      <c r="AM4" s="1082">
        <v>0</v>
      </c>
      <c r="AN4" s="1082">
        <v>0</v>
      </c>
      <c r="AO4" s="1082">
        <v>600</v>
      </c>
      <c r="AP4" s="1082">
        <v>0</v>
      </c>
      <c r="AQ4" s="1082">
        <v>0</v>
      </c>
      <c r="AR4" s="1082">
        <v>0</v>
      </c>
      <c r="AS4" s="1082">
        <v>0</v>
      </c>
      <c r="AT4" s="1082">
        <v>0</v>
      </c>
      <c r="AU4" s="1082">
        <v>0</v>
      </c>
      <c r="AV4" s="1087"/>
      <c r="AW4" s="1087"/>
      <c r="AX4" s="1087"/>
      <c r="AY4" s="1087"/>
      <c r="AZ4" s="1087"/>
      <c r="BA4" s="1087"/>
      <c r="BB4" s="1087"/>
      <c r="BC4" s="1087"/>
      <c r="BD4" s="1087"/>
      <c r="BE4" s="1087"/>
      <c r="BF4" s="1087"/>
      <c r="BG4" s="1087"/>
      <c r="BH4" s="1087"/>
      <c r="BI4" s="1087"/>
      <c r="BJ4" s="1087"/>
      <c r="BK4" s="1087"/>
      <c r="BL4" s="1087"/>
      <c r="BM4" s="1087"/>
      <c r="BN4" s="1087"/>
      <c r="BO4" s="1087"/>
      <c r="BP4" s="1087"/>
      <c r="BQ4" s="1087"/>
      <c r="BR4" s="1087"/>
      <c r="BS4" s="1087"/>
      <c r="BT4" s="1087"/>
      <c r="BU4" s="1087"/>
      <c r="BV4" s="1087"/>
      <c r="BW4" s="1087"/>
      <c r="BX4" s="1087"/>
      <c r="BY4" s="1087"/>
      <c r="BZ4" s="1087"/>
      <c r="CA4" s="1087"/>
      <c r="CB4" s="1087"/>
      <c r="CC4" s="1087"/>
      <c r="CD4" s="1087"/>
      <c r="CE4" s="1087"/>
      <c r="CF4" s="1087"/>
      <c r="CG4" s="1087"/>
      <c r="CH4" s="1087"/>
      <c r="CI4" s="1087"/>
      <c r="CJ4" s="1087"/>
      <c r="CK4" s="1087"/>
      <c r="CL4" s="1087"/>
      <c r="CM4" s="1087"/>
      <c r="CN4" s="1087"/>
      <c r="CO4" s="1087"/>
      <c r="CP4" s="1087"/>
      <c r="CQ4" s="1087"/>
      <c r="CR4" s="1087"/>
      <c r="CS4" s="1087"/>
      <c r="CT4" s="1087"/>
      <c r="CU4" s="1087"/>
      <c r="CV4" s="1087"/>
      <c r="CW4" s="1087"/>
    </row>
    <row r="5" spans="1:101" s="1077" customFormat="1" x14ac:dyDescent="0.25">
      <c r="A5" s="99">
        <v>6</v>
      </c>
      <c r="B5" s="1088">
        <v>6</v>
      </c>
      <c r="C5" s="1084">
        <v>6</v>
      </c>
      <c r="D5" s="1085" t="s">
        <v>265</v>
      </c>
      <c r="E5" s="1086">
        <v>0</v>
      </c>
      <c r="F5" s="1067">
        <v>0</v>
      </c>
      <c r="G5" s="1067">
        <v>0</v>
      </c>
      <c r="H5" s="1067">
        <v>0</v>
      </c>
      <c r="I5" s="1067">
        <v>0</v>
      </c>
      <c r="J5" s="1068">
        <v>0</v>
      </c>
      <c r="K5" s="1082">
        <v>0</v>
      </c>
      <c r="L5" s="1079">
        <v>0</v>
      </c>
      <c r="M5" s="1079">
        <v>0</v>
      </c>
      <c r="N5" s="1079">
        <v>0</v>
      </c>
      <c r="O5" s="1079">
        <v>0</v>
      </c>
      <c r="P5" s="1079">
        <v>0</v>
      </c>
      <c r="Q5" s="1079">
        <v>0</v>
      </c>
      <c r="R5" s="1079">
        <v>0</v>
      </c>
      <c r="S5" s="1079">
        <v>0</v>
      </c>
      <c r="T5" s="1079">
        <v>0</v>
      </c>
      <c r="U5" s="1079">
        <v>0</v>
      </c>
      <c r="V5" s="1079">
        <v>162446</v>
      </c>
      <c r="W5" s="1079">
        <v>0</v>
      </c>
      <c r="X5" s="1079">
        <v>0</v>
      </c>
      <c r="Y5" s="1079">
        <v>0</v>
      </c>
      <c r="Z5" s="1079">
        <v>0</v>
      </c>
      <c r="AA5" s="1082">
        <v>0</v>
      </c>
      <c r="AB5" s="1082">
        <v>0</v>
      </c>
      <c r="AC5" s="1082">
        <v>0</v>
      </c>
      <c r="AD5" s="1082">
        <v>0</v>
      </c>
      <c r="AE5" s="1082">
        <v>0</v>
      </c>
      <c r="AF5" s="1082">
        <v>2284329</v>
      </c>
      <c r="AG5" s="1082">
        <v>0</v>
      </c>
      <c r="AH5" s="1082">
        <v>0</v>
      </c>
      <c r="AI5" s="1082">
        <v>0</v>
      </c>
      <c r="AJ5" s="1082">
        <v>0</v>
      </c>
      <c r="AK5" s="1082">
        <v>0</v>
      </c>
      <c r="AL5" s="1082">
        <v>0</v>
      </c>
      <c r="AM5" s="1082">
        <v>0</v>
      </c>
      <c r="AN5" s="1082">
        <v>0</v>
      </c>
      <c r="AO5" s="1082">
        <v>0</v>
      </c>
      <c r="AP5" s="1082">
        <v>0</v>
      </c>
      <c r="AQ5" s="1082">
        <v>0</v>
      </c>
      <c r="AR5" s="1082">
        <v>0</v>
      </c>
      <c r="AS5" s="1082">
        <v>0</v>
      </c>
      <c r="AT5" s="1082">
        <v>0</v>
      </c>
      <c r="AU5" s="1082">
        <v>0</v>
      </c>
      <c r="AV5" s="1087"/>
      <c r="AW5" s="1087"/>
      <c r="AX5" s="1087"/>
      <c r="AY5" s="1087"/>
      <c r="AZ5" s="1087"/>
      <c r="BA5" s="1087"/>
      <c r="BB5" s="1087"/>
      <c r="BC5" s="1087"/>
      <c r="BD5" s="1087"/>
      <c r="BE5" s="1087"/>
      <c r="BF5" s="1087"/>
      <c r="BG5" s="1087"/>
      <c r="BH5" s="1087"/>
      <c r="BI5" s="1087"/>
      <c r="BJ5" s="1087"/>
      <c r="BK5" s="1087"/>
      <c r="BL5" s="1087"/>
      <c r="BM5" s="1087"/>
      <c r="BN5" s="1087"/>
      <c r="BO5" s="1087"/>
      <c r="BP5" s="1087"/>
      <c r="BQ5" s="1087"/>
      <c r="BR5" s="1087"/>
      <c r="BS5" s="1087"/>
      <c r="BT5" s="1087"/>
      <c r="BU5" s="1087"/>
      <c r="BV5" s="1087"/>
      <c r="BW5" s="1087"/>
      <c r="BX5" s="1087"/>
      <c r="BY5" s="1087"/>
      <c r="BZ5" s="1087"/>
      <c r="CA5" s="1087"/>
      <c r="CB5" s="1087"/>
      <c r="CC5" s="1087"/>
      <c r="CD5" s="1087"/>
      <c r="CE5" s="1087"/>
      <c r="CF5" s="1087"/>
      <c r="CG5" s="1087"/>
      <c r="CH5" s="1087"/>
      <c r="CI5" s="1087"/>
      <c r="CJ5" s="1087"/>
      <c r="CK5" s="1087"/>
      <c r="CL5" s="1087"/>
      <c r="CM5" s="1087"/>
      <c r="CN5" s="1087"/>
      <c r="CO5" s="1087"/>
      <c r="CP5" s="1087"/>
      <c r="CQ5" s="1087"/>
      <c r="CR5" s="1087"/>
      <c r="CS5" s="1087"/>
      <c r="CT5" s="1087"/>
      <c r="CU5" s="1087"/>
      <c r="CV5" s="1087"/>
      <c r="CW5" s="1087"/>
    </row>
    <row r="6" spans="1:101" s="1077" customFormat="1" x14ac:dyDescent="0.25">
      <c r="A6" s="99">
        <v>7</v>
      </c>
      <c r="B6" s="1088">
        <v>7</v>
      </c>
      <c r="C6" s="1084">
        <v>7</v>
      </c>
      <c r="D6" s="1085" t="s">
        <v>202</v>
      </c>
      <c r="E6" s="1086">
        <v>0</v>
      </c>
      <c r="F6" s="1067">
        <v>0</v>
      </c>
      <c r="G6" s="1067">
        <v>0</v>
      </c>
      <c r="H6" s="1067">
        <v>0</v>
      </c>
      <c r="I6" s="1067">
        <v>0</v>
      </c>
      <c r="J6" s="1068">
        <v>73</v>
      </c>
      <c r="K6" s="1082">
        <v>0</v>
      </c>
      <c r="L6" s="1079">
        <v>0</v>
      </c>
      <c r="M6" s="1079">
        <v>0</v>
      </c>
      <c r="N6" s="1079">
        <v>0</v>
      </c>
      <c r="O6" s="1079">
        <v>0</v>
      </c>
      <c r="P6" s="1079">
        <v>0</v>
      </c>
      <c r="Q6" s="1079">
        <v>0</v>
      </c>
      <c r="R6" s="1079">
        <v>0</v>
      </c>
      <c r="S6" s="1079">
        <v>0</v>
      </c>
      <c r="T6" s="1079">
        <v>0</v>
      </c>
      <c r="U6" s="1079">
        <v>1176</v>
      </c>
      <c r="V6" s="1079">
        <v>0</v>
      </c>
      <c r="W6" s="1079">
        <v>0</v>
      </c>
      <c r="X6" s="1079">
        <v>0</v>
      </c>
      <c r="Y6" s="1079">
        <v>0</v>
      </c>
      <c r="Z6" s="1079">
        <v>11558</v>
      </c>
      <c r="AA6" s="1082">
        <v>0</v>
      </c>
      <c r="AB6" s="1082">
        <v>0</v>
      </c>
      <c r="AC6" s="1082">
        <v>6109</v>
      </c>
      <c r="AD6" s="1082">
        <v>0</v>
      </c>
      <c r="AE6" s="1082">
        <v>0</v>
      </c>
      <c r="AF6" s="1082">
        <v>0</v>
      </c>
      <c r="AG6" s="1082">
        <v>0</v>
      </c>
      <c r="AH6" s="1082">
        <v>0</v>
      </c>
      <c r="AI6" s="1082">
        <v>0</v>
      </c>
      <c r="AJ6" s="1082">
        <v>0</v>
      </c>
      <c r="AK6" s="1082">
        <v>0</v>
      </c>
      <c r="AL6" s="1082">
        <v>1223469</v>
      </c>
      <c r="AM6" s="1082">
        <v>0</v>
      </c>
      <c r="AN6" s="1082">
        <v>0</v>
      </c>
      <c r="AO6" s="1082">
        <v>101461</v>
      </c>
      <c r="AP6" s="1082">
        <v>0</v>
      </c>
      <c r="AQ6" s="1082">
        <v>0</v>
      </c>
      <c r="AR6" s="1082">
        <v>0</v>
      </c>
      <c r="AS6" s="1082">
        <v>0</v>
      </c>
      <c r="AT6" s="1082">
        <v>0</v>
      </c>
      <c r="AU6" s="1082">
        <v>0</v>
      </c>
      <c r="AV6" s="1087"/>
      <c r="AW6" s="1087"/>
      <c r="AX6" s="1087"/>
      <c r="AY6" s="1087"/>
      <c r="AZ6" s="1087"/>
      <c r="BA6" s="1087"/>
      <c r="BB6" s="1087"/>
      <c r="BC6" s="1087"/>
      <c r="BD6" s="1087"/>
      <c r="BE6" s="1087"/>
      <c r="BF6" s="1087"/>
      <c r="BG6" s="1087"/>
      <c r="BH6" s="1087"/>
      <c r="BI6" s="1087"/>
      <c r="BJ6" s="1087"/>
      <c r="BK6" s="1087"/>
      <c r="BL6" s="1087"/>
      <c r="BM6" s="1087"/>
      <c r="BN6" s="1087"/>
      <c r="BO6" s="1087"/>
      <c r="BP6" s="1087"/>
      <c r="BQ6" s="1087"/>
      <c r="BR6" s="1087"/>
      <c r="BS6" s="1087"/>
      <c r="BT6" s="1087"/>
      <c r="BU6" s="1087"/>
      <c r="BV6" s="1087"/>
      <c r="BW6" s="1087"/>
      <c r="BX6" s="1087"/>
      <c r="BY6" s="1087"/>
      <c r="BZ6" s="1087"/>
      <c r="CA6" s="1087"/>
      <c r="CB6" s="1087"/>
      <c r="CC6" s="1087"/>
      <c r="CD6" s="1087"/>
      <c r="CE6" s="1087"/>
      <c r="CF6" s="1087"/>
      <c r="CG6" s="1087"/>
      <c r="CH6" s="1087"/>
      <c r="CI6" s="1087"/>
      <c r="CJ6" s="1087"/>
      <c r="CK6" s="1087"/>
      <c r="CL6" s="1087"/>
      <c r="CM6" s="1087"/>
      <c r="CN6" s="1087"/>
      <c r="CO6" s="1087"/>
      <c r="CP6" s="1087"/>
      <c r="CQ6" s="1087"/>
      <c r="CR6" s="1087"/>
      <c r="CS6" s="1087"/>
      <c r="CT6" s="1087"/>
      <c r="CU6" s="1087"/>
      <c r="CV6" s="1087"/>
      <c r="CW6" s="1087"/>
    </row>
    <row r="7" spans="1:101" s="1077" customFormat="1" ht="30" x14ac:dyDescent="0.25">
      <c r="A7" s="99">
        <v>9</v>
      </c>
      <c r="B7" s="1088">
        <v>9</v>
      </c>
      <c r="C7" s="1084">
        <v>9</v>
      </c>
      <c r="D7" s="1085" t="s">
        <v>204</v>
      </c>
      <c r="E7" s="1086">
        <v>0</v>
      </c>
      <c r="F7" s="1067">
        <v>0</v>
      </c>
      <c r="G7" s="1067">
        <v>877415</v>
      </c>
      <c r="H7" s="1067">
        <v>0</v>
      </c>
      <c r="I7" s="1067">
        <v>0</v>
      </c>
      <c r="J7" s="1068">
        <v>206485</v>
      </c>
      <c r="K7" s="1082">
        <v>1208283</v>
      </c>
      <c r="L7" s="1079">
        <v>0</v>
      </c>
      <c r="M7" s="1079">
        <v>0</v>
      </c>
      <c r="N7" s="1079">
        <v>0</v>
      </c>
      <c r="O7" s="1079">
        <v>0</v>
      </c>
      <c r="P7" s="1079">
        <v>0</v>
      </c>
      <c r="Q7" s="1079">
        <v>0</v>
      </c>
      <c r="R7" s="1079">
        <v>0</v>
      </c>
      <c r="S7" s="1079">
        <v>324457</v>
      </c>
      <c r="T7" s="1079">
        <v>0</v>
      </c>
      <c r="U7" s="1079">
        <v>136167</v>
      </c>
      <c r="V7" s="1079">
        <v>6185403</v>
      </c>
      <c r="W7" s="1079">
        <v>0</v>
      </c>
      <c r="X7" s="1079">
        <v>81971</v>
      </c>
      <c r="Y7" s="1079">
        <v>0</v>
      </c>
      <c r="Z7" s="1079">
        <v>198652</v>
      </c>
      <c r="AA7" s="1082">
        <v>525335</v>
      </c>
      <c r="AB7" s="1082">
        <v>0</v>
      </c>
      <c r="AC7" s="1082">
        <v>59093</v>
      </c>
      <c r="AD7" s="1082">
        <v>162480</v>
      </c>
      <c r="AE7" s="1082">
        <v>118121</v>
      </c>
      <c r="AF7" s="1082">
        <v>6734475</v>
      </c>
      <c r="AG7" s="1082">
        <v>0</v>
      </c>
      <c r="AH7" s="1082">
        <v>113917</v>
      </c>
      <c r="AI7" s="1082">
        <v>0</v>
      </c>
      <c r="AJ7" s="1082">
        <v>10731619</v>
      </c>
      <c r="AK7" s="1082">
        <v>4422816</v>
      </c>
      <c r="AL7" s="1082">
        <v>44195542</v>
      </c>
      <c r="AM7" s="1082">
        <v>1052622</v>
      </c>
      <c r="AN7" s="1082">
        <v>58394</v>
      </c>
      <c r="AO7" s="1082">
        <v>263957</v>
      </c>
      <c r="AP7" s="1082">
        <v>31502</v>
      </c>
      <c r="AQ7" s="1082">
        <v>57218</v>
      </c>
      <c r="AR7" s="1082">
        <v>1257278</v>
      </c>
      <c r="AS7" s="1082">
        <v>0</v>
      </c>
      <c r="AT7" s="1082">
        <v>0</v>
      </c>
      <c r="AU7" s="1082">
        <v>276214</v>
      </c>
      <c r="AV7" s="1087"/>
      <c r="AW7" s="1087"/>
      <c r="AX7" s="1087"/>
      <c r="AY7" s="1087"/>
      <c r="AZ7" s="1087"/>
      <c r="BA7" s="1087"/>
      <c r="BB7" s="1087"/>
      <c r="BC7" s="1087"/>
      <c r="BD7" s="1087"/>
      <c r="BE7" s="1087"/>
      <c r="BF7" s="1087"/>
      <c r="BG7" s="1087"/>
      <c r="BH7" s="1087"/>
      <c r="BI7" s="1087"/>
      <c r="BJ7" s="1087"/>
      <c r="BK7" s="1087"/>
      <c r="BL7" s="1087"/>
      <c r="BM7" s="1087"/>
      <c r="BN7" s="1087"/>
      <c r="BO7" s="1087"/>
      <c r="BP7" s="1087"/>
      <c r="BQ7" s="1087"/>
      <c r="BR7" s="1087"/>
      <c r="BS7" s="1087"/>
      <c r="BT7" s="1087"/>
      <c r="BU7" s="1087"/>
      <c r="BV7" s="1087"/>
      <c r="BW7" s="1087"/>
      <c r="BX7" s="1087"/>
      <c r="BY7" s="1087"/>
      <c r="BZ7" s="1087"/>
      <c r="CA7" s="1087"/>
      <c r="CB7" s="1087"/>
      <c r="CC7" s="1087"/>
      <c r="CD7" s="1087"/>
      <c r="CE7" s="1087"/>
      <c r="CF7" s="1087"/>
      <c r="CG7" s="1087"/>
      <c r="CH7" s="1087"/>
      <c r="CI7" s="1087"/>
      <c r="CJ7" s="1087"/>
      <c r="CK7" s="1087"/>
      <c r="CL7" s="1087"/>
      <c r="CM7" s="1087"/>
      <c r="CN7" s="1087"/>
      <c r="CO7" s="1087"/>
      <c r="CP7" s="1087"/>
      <c r="CQ7" s="1087"/>
      <c r="CR7" s="1087"/>
      <c r="CS7" s="1087"/>
      <c r="CT7" s="1087"/>
      <c r="CU7" s="1087"/>
      <c r="CV7" s="1087"/>
      <c r="CW7" s="1087"/>
    </row>
    <row r="8" spans="1:101" s="1077" customFormat="1" x14ac:dyDescent="0.25">
      <c r="A8" s="99">
        <v>11</v>
      </c>
      <c r="B8" s="99"/>
      <c r="C8" s="1084">
        <v>11</v>
      </c>
      <c r="D8" s="1085" t="e">
        <v>#VALUE!</v>
      </c>
      <c r="E8" s="1086">
        <v>0</v>
      </c>
      <c r="F8" s="1067">
        <v>0</v>
      </c>
      <c r="G8" s="1067">
        <v>0</v>
      </c>
      <c r="H8" s="1067">
        <v>0</v>
      </c>
      <c r="I8" s="1067">
        <v>0</v>
      </c>
      <c r="J8" s="1068">
        <v>0</v>
      </c>
      <c r="K8" s="1082">
        <v>0</v>
      </c>
      <c r="L8" s="1079">
        <v>0</v>
      </c>
      <c r="M8" s="1079">
        <v>0</v>
      </c>
      <c r="N8" s="1079">
        <v>0</v>
      </c>
      <c r="O8" s="1079">
        <v>0</v>
      </c>
      <c r="P8" s="1079">
        <v>0</v>
      </c>
      <c r="Q8" s="1079">
        <v>0</v>
      </c>
      <c r="R8" s="1079">
        <v>0</v>
      </c>
      <c r="S8" s="1079">
        <v>0</v>
      </c>
      <c r="T8" s="1079">
        <v>0</v>
      </c>
      <c r="U8" s="1079">
        <v>0</v>
      </c>
      <c r="V8" s="1079">
        <v>0</v>
      </c>
      <c r="W8" s="1079">
        <v>0</v>
      </c>
      <c r="X8" s="1079">
        <v>0</v>
      </c>
      <c r="Y8" s="1079">
        <v>0</v>
      </c>
      <c r="Z8" s="1079">
        <v>0</v>
      </c>
      <c r="AA8" s="1082">
        <v>0</v>
      </c>
      <c r="AB8" s="1082">
        <v>0</v>
      </c>
      <c r="AC8" s="1082">
        <v>0</v>
      </c>
      <c r="AD8" s="1082">
        <v>0</v>
      </c>
      <c r="AE8" s="1082">
        <v>0</v>
      </c>
      <c r="AF8" s="1082">
        <v>0</v>
      </c>
      <c r="AG8" s="1082">
        <v>0</v>
      </c>
      <c r="AH8" s="1082">
        <v>0</v>
      </c>
      <c r="AI8" s="1082">
        <v>0</v>
      </c>
      <c r="AJ8" s="1082">
        <v>0</v>
      </c>
      <c r="AK8" s="1082">
        <v>0</v>
      </c>
      <c r="AL8" s="1082">
        <v>0</v>
      </c>
      <c r="AM8" s="1082">
        <v>0</v>
      </c>
      <c r="AN8" s="1082">
        <v>0</v>
      </c>
      <c r="AO8" s="1082">
        <v>0</v>
      </c>
      <c r="AP8" s="1082">
        <v>0</v>
      </c>
      <c r="AQ8" s="1082">
        <v>0</v>
      </c>
      <c r="AR8" s="1082">
        <v>0</v>
      </c>
      <c r="AS8" s="1082">
        <v>0</v>
      </c>
      <c r="AT8" s="1082">
        <v>0</v>
      </c>
      <c r="AU8" s="1082">
        <v>0</v>
      </c>
      <c r="AV8" s="1087"/>
      <c r="AW8" s="1087"/>
      <c r="AX8" s="1087"/>
      <c r="AY8" s="1087"/>
      <c r="AZ8" s="1087"/>
      <c r="BA8" s="1087"/>
      <c r="BB8" s="1087"/>
      <c r="BC8" s="1087"/>
      <c r="BD8" s="1087"/>
      <c r="BE8" s="1087"/>
      <c r="BF8" s="1087"/>
      <c r="BG8" s="1087"/>
      <c r="BH8" s="1087"/>
      <c r="BI8" s="1087"/>
      <c r="BJ8" s="1087"/>
      <c r="BK8" s="1087"/>
      <c r="BL8" s="1087"/>
      <c r="BM8" s="1087"/>
      <c r="BN8" s="1087"/>
      <c r="BO8" s="1087"/>
      <c r="BP8" s="1087"/>
      <c r="BQ8" s="1087"/>
      <c r="BR8" s="1087"/>
      <c r="BS8" s="1087"/>
      <c r="BT8" s="1087"/>
      <c r="BU8" s="1087"/>
      <c r="BV8" s="1087"/>
      <c r="BW8" s="1087"/>
      <c r="BX8" s="1087"/>
      <c r="BY8" s="1087"/>
      <c r="BZ8" s="1087"/>
      <c r="CA8" s="1087"/>
      <c r="CB8" s="1087"/>
      <c r="CC8" s="1087"/>
      <c r="CD8" s="1087"/>
      <c r="CE8" s="1087"/>
      <c r="CF8" s="1087"/>
      <c r="CG8" s="1087"/>
      <c r="CH8" s="1087"/>
      <c r="CI8" s="1087"/>
      <c r="CJ8" s="1087"/>
      <c r="CK8" s="1087"/>
      <c r="CL8" s="1087"/>
      <c r="CM8" s="1087"/>
      <c r="CN8" s="1087"/>
      <c r="CO8" s="1087"/>
      <c r="CP8" s="1087"/>
      <c r="CQ8" s="1087"/>
      <c r="CR8" s="1087"/>
      <c r="CS8" s="1087"/>
      <c r="CT8" s="1087"/>
      <c r="CU8" s="1087"/>
      <c r="CV8" s="1087"/>
      <c r="CW8" s="1087"/>
    </row>
    <row r="9" spans="1:101" s="1077" customFormat="1" ht="30" x14ac:dyDescent="0.25">
      <c r="A9" s="99">
        <v>12</v>
      </c>
      <c r="B9" s="99"/>
      <c r="C9" s="1084">
        <v>12</v>
      </c>
      <c r="D9" s="1085" t="s">
        <v>384</v>
      </c>
      <c r="E9" s="1086">
        <v>0</v>
      </c>
      <c r="F9" s="1067">
        <v>0</v>
      </c>
      <c r="G9" s="1067">
        <v>0</v>
      </c>
      <c r="H9" s="1067">
        <v>0</v>
      </c>
      <c r="I9" s="1067">
        <v>0</v>
      </c>
      <c r="J9" s="1068">
        <v>0</v>
      </c>
      <c r="K9" s="1082">
        <v>0</v>
      </c>
      <c r="L9" s="1079">
        <v>0</v>
      </c>
      <c r="M9" s="1079">
        <v>0</v>
      </c>
      <c r="N9" s="1079">
        <v>0</v>
      </c>
      <c r="O9" s="1079">
        <v>0</v>
      </c>
      <c r="P9" s="1079">
        <v>0</v>
      </c>
      <c r="Q9" s="1079">
        <v>0</v>
      </c>
      <c r="R9" s="1079">
        <v>0</v>
      </c>
      <c r="S9" s="1079">
        <v>0</v>
      </c>
      <c r="T9" s="1079">
        <v>0</v>
      </c>
      <c r="U9" s="1079">
        <v>0</v>
      </c>
      <c r="V9" s="1079">
        <v>0</v>
      </c>
      <c r="W9" s="1079">
        <v>0</v>
      </c>
      <c r="X9" s="1079">
        <v>0</v>
      </c>
      <c r="Y9" s="1079">
        <v>0</v>
      </c>
      <c r="Z9" s="1079">
        <v>0</v>
      </c>
      <c r="AA9" s="1082">
        <v>0</v>
      </c>
      <c r="AB9" s="1082">
        <v>0</v>
      </c>
      <c r="AC9" s="1082">
        <v>0</v>
      </c>
      <c r="AD9" s="1082">
        <v>0</v>
      </c>
      <c r="AE9" s="1082">
        <v>0</v>
      </c>
      <c r="AF9" s="1082">
        <v>0</v>
      </c>
      <c r="AG9" s="1082">
        <v>0</v>
      </c>
      <c r="AH9" s="1082">
        <v>0</v>
      </c>
      <c r="AI9" s="1082">
        <v>0</v>
      </c>
      <c r="AJ9" s="1082">
        <v>0</v>
      </c>
      <c r="AK9" s="1082">
        <v>0</v>
      </c>
      <c r="AL9" s="1082">
        <v>0</v>
      </c>
      <c r="AM9" s="1082">
        <v>0</v>
      </c>
      <c r="AN9" s="1082">
        <v>0</v>
      </c>
      <c r="AO9" s="1082">
        <v>0</v>
      </c>
      <c r="AP9" s="1082">
        <v>0</v>
      </c>
      <c r="AQ9" s="1082">
        <v>0</v>
      </c>
      <c r="AR9" s="1082">
        <v>0</v>
      </c>
      <c r="AS9" s="1082">
        <v>0</v>
      </c>
      <c r="AT9" s="1082">
        <v>0</v>
      </c>
      <c r="AU9" s="1082">
        <v>0</v>
      </c>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row>
    <row r="10" spans="1:101" s="1077" customFormat="1" ht="60" x14ac:dyDescent="0.25">
      <c r="A10" s="99">
        <v>13</v>
      </c>
      <c r="B10" s="1088">
        <v>13</v>
      </c>
      <c r="C10" s="1084">
        <v>13</v>
      </c>
      <c r="D10" s="1085" t="s">
        <v>1445</v>
      </c>
      <c r="E10" s="1086">
        <v>453747</v>
      </c>
      <c r="F10" s="1067">
        <v>4185549</v>
      </c>
      <c r="G10" s="1067">
        <v>0</v>
      </c>
      <c r="H10" s="1067">
        <v>4477543</v>
      </c>
      <c r="I10" s="1067">
        <v>190298</v>
      </c>
      <c r="J10" s="1068">
        <v>0</v>
      </c>
      <c r="K10" s="1082">
        <v>0</v>
      </c>
      <c r="L10" s="1079">
        <v>0</v>
      </c>
      <c r="M10" s="1079">
        <v>1153385</v>
      </c>
      <c r="N10" s="1079">
        <v>9480734</v>
      </c>
      <c r="O10" s="1079">
        <v>1311549</v>
      </c>
      <c r="P10" s="1079">
        <v>101637</v>
      </c>
      <c r="Q10" s="1079">
        <v>14381432</v>
      </c>
      <c r="R10" s="1079">
        <v>0</v>
      </c>
      <c r="S10" s="1079">
        <v>0</v>
      </c>
      <c r="T10" s="1079">
        <v>0</v>
      </c>
      <c r="U10" s="1079">
        <v>0</v>
      </c>
      <c r="V10" s="1079">
        <v>0</v>
      </c>
      <c r="W10" s="1079">
        <v>4758750</v>
      </c>
      <c r="X10" s="1079">
        <v>0</v>
      </c>
      <c r="Y10" s="1079">
        <v>1985200</v>
      </c>
      <c r="Z10" s="1079">
        <v>0</v>
      </c>
      <c r="AA10" s="1082">
        <v>0</v>
      </c>
      <c r="AB10" s="1082">
        <v>0</v>
      </c>
      <c r="AC10" s="1082">
        <v>0</v>
      </c>
      <c r="AD10" s="1082">
        <v>0</v>
      </c>
      <c r="AE10" s="1082">
        <v>0</v>
      </c>
      <c r="AF10" s="1082">
        <v>0</v>
      </c>
      <c r="AG10" s="1082">
        <v>1787035</v>
      </c>
      <c r="AH10" s="1082">
        <v>0</v>
      </c>
      <c r="AI10" s="1082">
        <v>0</v>
      </c>
      <c r="AJ10" s="1082">
        <v>733780</v>
      </c>
      <c r="AK10" s="1082">
        <v>0</v>
      </c>
      <c r="AL10" s="1082">
        <v>5665866</v>
      </c>
      <c r="AM10" s="1082">
        <v>0</v>
      </c>
      <c r="AN10" s="1082">
        <v>0</v>
      </c>
      <c r="AO10" s="1082">
        <v>0</v>
      </c>
      <c r="AP10" s="1082">
        <v>0</v>
      </c>
      <c r="AQ10" s="1082">
        <v>0</v>
      </c>
      <c r="AR10" s="1082">
        <v>0</v>
      </c>
      <c r="AS10" s="1082">
        <v>4915571</v>
      </c>
      <c r="AT10" s="1082">
        <v>296117</v>
      </c>
      <c r="AU10" s="1082">
        <v>0</v>
      </c>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row>
    <row r="11" spans="1:101" s="1077" customFormat="1" ht="30" x14ac:dyDescent="0.25">
      <c r="A11" s="99">
        <v>14</v>
      </c>
      <c r="B11" s="1088">
        <v>14</v>
      </c>
      <c r="C11" s="1084">
        <v>14</v>
      </c>
      <c r="D11" s="1085" t="s">
        <v>1541</v>
      </c>
      <c r="E11" s="1086">
        <v>54785</v>
      </c>
      <c r="F11" s="1067">
        <v>78976</v>
      </c>
      <c r="G11" s="1067">
        <v>0</v>
      </c>
      <c r="H11" s="1067">
        <v>254169</v>
      </c>
      <c r="I11" s="1067">
        <v>11401</v>
      </c>
      <c r="J11" s="1068">
        <v>0</v>
      </c>
      <c r="K11" s="1082">
        <v>0</v>
      </c>
      <c r="L11" s="1079">
        <v>0</v>
      </c>
      <c r="M11" s="1079">
        <v>797676</v>
      </c>
      <c r="N11" s="1079">
        <v>2968351</v>
      </c>
      <c r="O11" s="1079">
        <v>195587</v>
      </c>
      <c r="P11" s="1079">
        <v>20836</v>
      </c>
      <c r="Q11" s="1079">
        <v>903192</v>
      </c>
      <c r="R11" s="1079">
        <v>0</v>
      </c>
      <c r="S11" s="1079">
        <v>0</v>
      </c>
      <c r="T11" s="1079">
        <v>0</v>
      </c>
      <c r="U11" s="1079">
        <v>0</v>
      </c>
      <c r="V11" s="1079">
        <v>0</v>
      </c>
      <c r="W11" s="1079">
        <v>2496038</v>
      </c>
      <c r="X11" s="1079">
        <v>0</v>
      </c>
      <c r="Y11" s="1079">
        <v>554596</v>
      </c>
      <c r="Z11" s="1079">
        <v>0</v>
      </c>
      <c r="AA11" s="1082">
        <v>0</v>
      </c>
      <c r="AB11" s="1082">
        <v>0</v>
      </c>
      <c r="AC11" s="1082">
        <v>0</v>
      </c>
      <c r="AD11" s="1082">
        <v>0</v>
      </c>
      <c r="AE11" s="1082">
        <v>0</v>
      </c>
      <c r="AF11" s="1082">
        <v>0</v>
      </c>
      <c r="AG11" s="1082">
        <v>1539238</v>
      </c>
      <c r="AH11" s="1082">
        <v>0</v>
      </c>
      <c r="AI11" s="1082">
        <v>0</v>
      </c>
      <c r="AJ11" s="1082">
        <v>24493</v>
      </c>
      <c r="AK11" s="1082">
        <v>0</v>
      </c>
      <c r="AL11" s="1082">
        <v>26267134</v>
      </c>
      <c r="AM11" s="1082">
        <v>0</v>
      </c>
      <c r="AN11" s="1082">
        <v>0</v>
      </c>
      <c r="AO11" s="1082">
        <v>0</v>
      </c>
      <c r="AP11" s="1082">
        <v>0</v>
      </c>
      <c r="AQ11" s="1082">
        <v>0</v>
      </c>
      <c r="AR11" s="1082">
        <v>0</v>
      </c>
      <c r="AS11" s="1082">
        <v>277149</v>
      </c>
      <c r="AT11" s="1082">
        <v>53736</v>
      </c>
      <c r="AU11" s="1082">
        <v>0</v>
      </c>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row>
    <row r="12" spans="1:101" s="1077" customFormat="1" x14ac:dyDescent="0.25">
      <c r="A12" s="99">
        <v>16</v>
      </c>
      <c r="B12" s="1088">
        <v>16</v>
      </c>
      <c r="C12" s="1084">
        <v>16</v>
      </c>
      <c r="D12" s="1085" t="s">
        <v>206</v>
      </c>
      <c r="E12" s="1086">
        <v>0</v>
      </c>
      <c r="F12" s="1067">
        <v>0</v>
      </c>
      <c r="G12" s="1067">
        <v>8088396</v>
      </c>
      <c r="H12" s="1067">
        <v>0</v>
      </c>
      <c r="I12" s="1067">
        <v>0</v>
      </c>
      <c r="J12" s="1068">
        <v>338920</v>
      </c>
      <c r="K12" s="1082">
        <v>2721453</v>
      </c>
      <c r="L12" s="1079">
        <v>0</v>
      </c>
      <c r="M12" s="1079">
        <v>0</v>
      </c>
      <c r="N12" s="1079">
        <v>0</v>
      </c>
      <c r="O12" s="1079">
        <v>0</v>
      </c>
      <c r="P12" s="1079">
        <v>0</v>
      </c>
      <c r="Q12" s="1079">
        <v>0</v>
      </c>
      <c r="R12" s="1079">
        <v>0</v>
      </c>
      <c r="S12" s="1079">
        <v>29278</v>
      </c>
      <c r="T12" s="1079">
        <v>0</v>
      </c>
      <c r="U12" s="1079">
        <v>93926</v>
      </c>
      <c r="V12" s="1079">
        <v>2545913</v>
      </c>
      <c r="W12" s="1079">
        <v>0</v>
      </c>
      <c r="X12" s="1079">
        <v>216082</v>
      </c>
      <c r="Y12" s="1079">
        <v>0</v>
      </c>
      <c r="Z12" s="1079">
        <v>170</v>
      </c>
      <c r="AA12" s="1082">
        <v>335587</v>
      </c>
      <c r="AB12" s="1082">
        <v>0</v>
      </c>
      <c r="AC12" s="1082">
        <v>125775</v>
      </c>
      <c r="AD12" s="1082">
        <v>75457</v>
      </c>
      <c r="AE12" s="1082">
        <v>650874</v>
      </c>
      <c r="AF12" s="1082">
        <v>64928733</v>
      </c>
      <c r="AG12" s="1082">
        <v>0</v>
      </c>
      <c r="AH12" s="1082">
        <v>17112</v>
      </c>
      <c r="AI12" s="1082">
        <v>0</v>
      </c>
      <c r="AJ12" s="1082">
        <v>9422049</v>
      </c>
      <c r="AK12" s="1082">
        <v>2713708</v>
      </c>
      <c r="AL12" s="1082">
        <v>9433096</v>
      </c>
      <c r="AM12" s="1082">
        <v>211850</v>
      </c>
      <c r="AN12" s="1082">
        <v>39221</v>
      </c>
      <c r="AO12" s="1082">
        <v>63930</v>
      </c>
      <c r="AP12" s="1082">
        <v>8814</v>
      </c>
      <c r="AQ12" s="1082">
        <v>49799</v>
      </c>
      <c r="AR12" s="1082">
        <v>2388972</v>
      </c>
      <c r="AS12" s="1082">
        <v>0</v>
      </c>
      <c r="AT12" s="1082">
        <v>0</v>
      </c>
      <c r="AU12" s="1082">
        <v>177412</v>
      </c>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row>
    <row r="13" spans="1:101" s="1077" customFormat="1" x14ac:dyDescent="0.25">
      <c r="A13" s="99">
        <v>17</v>
      </c>
      <c r="B13" s="1088">
        <v>17</v>
      </c>
      <c r="C13" s="1084">
        <v>17</v>
      </c>
      <c r="D13" s="1085" t="s">
        <v>209</v>
      </c>
      <c r="E13" s="1086">
        <v>0</v>
      </c>
      <c r="F13" s="1067">
        <v>0</v>
      </c>
      <c r="G13" s="1067">
        <v>0</v>
      </c>
      <c r="H13" s="1067">
        <v>0</v>
      </c>
      <c r="I13" s="1067">
        <v>0</v>
      </c>
      <c r="J13" s="1068">
        <v>0</v>
      </c>
      <c r="K13" s="1082">
        <v>0</v>
      </c>
      <c r="L13" s="1079">
        <v>0</v>
      </c>
      <c r="M13" s="1079">
        <v>0</v>
      </c>
      <c r="N13" s="1079">
        <v>0</v>
      </c>
      <c r="O13" s="1079">
        <v>0</v>
      </c>
      <c r="P13" s="1079">
        <v>0</v>
      </c>
      <c r="Q13" s="1079">
        <v>0</v>
      </c>
      <c r="R13" s="1079">
        <v>0</v>
      </c>
      <c r="S13" s="1079">
        <v>0</v>
      </c>
      <c r="T13" s="1079">
        <v>0</v>
      </c>
      <c r="U13" s="1079">
        <v>0</v>
      </c>
      <c r="V13" s="1079">
        <v>0</v>
      </c>
      <c r="W13" s="1079">
        <v>0</v>
      </c>
      <c r="X13" s="1079">
        <v>0</v>
      </c>
      <c r="Y13" s="1079">
        <v>0</v>
      </c>
      <c r="Z13" s="1079">
        <v>0</v>
      </c>
      <c r="AA13" s="1082">
        <v>0</v>
      </c>
      <c r="AB13" s="1082">
        <v>0</v>
      </c>
      <c r="AC13" s="1082">
        <v>0</v>
      </c>
      <c r="AD13" s="1082">
        <v>0</v>
      </c>
      <c r="AE13" s="1082">
        <v>0</v>
      </c>
      <c r="AF13" s="1082">
        <v>0</v>
      </c>
      <c r="AG13" s="1082">
        <v>0</v>
      </c>
      <c r="AH13" s="1082">
        <v>0</v>
      </c>
      <c r="AI13" s="1082">
        <v>0</v>
      </c>
      <c r="AJ13" s="1082">
        <v>0</v>
      </c>
      <c r="AK13" s="1082">
        <v>0</v>
      </c>
      <c r="AL13" s="1082">
        <v>15480527</v>
      </c>
      <c r="AM13" s="1082">
        <v>0</v>
      </c>
      <c r="AN13" s="1082">
        <v>0</v>
      </c>
      <c r="AO13" s="1082">
        <v>0</v>
      </c>
      <c r="AP13" s="1082">
        <v>0</v>
      </c>
      <c r="AQ13" s="1082">
        <v>0</v>
      </c>
      <c r="AR13" s="1082">
        <v>0</v>
      </c>
      <c r="AS13" s="1082">
        <v>0</v>
      </c>
      <c r="AT13" s="1082">
        <v>0</v>
      </c>
      <c r="AU13" s="1082">
        <v>0</v>
      </c>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row>
    <row r="14" spans="1:101" s="1077" customFormat="1" ht="30" x14ac:dyDescent="0.25">
      <c r="A14" s="99">
        <v>19</v>
      </c>
      <c r="B14" s="99"/>
      <c r="C14" s="1084">
        <v>19</v>
      </c>
      <c r="D14" s="1085" t="s">
        <v>1446</v>
      </c>
      <c r="E14" s="1086">
        <v>0</v>
      </c>
      <c r="F14" s="1067">
        <v>0</v>
      </c>
      <c r="G14" s="1067">
        <v>0</v>
      </c>
      <c r="H14" s="1067">
        <v>0</v>
      </c>
      <c r="I14" s="1067">
        <v>0</v>
      </c>
      <c r="J14" s="1068">
        <v>0</v>
      </c>
      <c r="K14" s="1082">
        <v>0</v>
      </c>
      <c r="L14" s="1079">
        <v>0</v>
      </c>
      <c r="M14" s="1079">
        <v>0</v>
      </c>
      <c r="N14" s="1079">
        <v>0</v>
      </c>
      <c r="O14" s="1079">
        <v>0</v>
      </c>
      <c r="P14" s="1079">
        <v>0</v>
      </c>
      <c r="Q14" s="1079">
        <v>0</v>
      </c>
      <c r="R14" s="1079">
        <v>0</v>
      </c>
      <c r="S14" s="1079">
        <v>0</v>
      </c>
      <c r="T14" s="1079">
        <v>0</v>
      </c>
      <c r="U14" s="1079">
        <v>0</v>
      </c>
      <c r="V14" s="1079">
        <v>0</v>
      </c>
      <c r="W14" s="1079">
        <v>0</v>
      </c>
      <c r="X14" s="1079">
        <v>0</v>
      </c>
      <c r="Y14" s="1079">
        <v>0</v>
      </c>
      <c r="Z14" s="1079">
        <v>0</v>
      </c>
      <c r="AA14" s="1082">
        <v>0</v>
      </c>
      <c r="AB14" s="1082">
        <v>0</v>
      </c>
      <c r="AC14" s="1082">
        <v>0</v>
      </c>
      <c r="AD14" s="1082">
        <v>0</v>
      </c>
      <c r="AE14" s="1082">
        <v>0</v>
      </c>
      <c r="AF14" s="1082">
        <v>0</v>
      </c>
      <c r="AG14" s="1082">
        <v>0</v>
      </c>
      <c r="AH14" s="1082">
        <v>0</v>
      </c>
      <c r="AI14" s="1082">
        <v>0</v>
      </c>
      <c r="AJ14" s="1082">
        <v>0</v>
      </c>
      <c r="AK14" s="1082">
        <v>0</v>
      </c>
      <c r="AL14" s="1082">
        <v>0</v>
      </c>
      <c r="AM14" s="1082">
        <v>0</v>
      </c>
      <c r="AN14" s="1082">
        <v>0</v>
      </c>
      <c r="AO14" s="1082">
        <v>0</v>
      </c>
      <c r="AP14" s="1082">
        <v>0</v>
      </c>
      <c r="AQ14" s="1082">
        <v>0</v>
      </c>
      <c r="AR14" s="1082">
        <v>0</v>
      </c>
      <c r="AS14" s="1082">
        <v>0</v>
      </c>
      <c r="AT14" s="1082">
        <v>0</v>
      </c>
      <c r="AU14" s="1082">
        <v>0</v>
      </c>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row>
    <row r="15" spans="1:101" s="1077" customFormat="1" x14ac:dyDescent="0.25">
      <c r="A15" s="99">
        <v>20</v>
      </c>
      <c r="B15" s="1088">
        <v>20</v>
      </c>
      <c r="C15" s="1084">
        <v>20</v>
      </c>
      <c r="D15" s="1085" t="s">
        <v>210</v>
      </c>
      <c r="E15" s="1086">
        <v>0</v>
      </c>
      <c r="F15" s="1067">
        <v>0</v>
      </c>
      <c r="G15" s="1067">
        <v>0</v>
      </c>
      <c r="H15" s="1067">
        <v>0</v>
      </c>
      <c r="I15" s="1067">
        <v>0</v>
      </c>
      <c r="J15" s="1068">
        <v>0</v>
      </c>
      <c r="K15" s="1082">
        <v>0</v>
      </c>
      <c r="L15" s="1079">
        <v>0</v>
      </c>
      <c r="M15" s="1079">
        <v>0</v>
      </c>
      <c r="N15" s="1079">
        <v>0</v>
      </c>
      <c r="O15" s="1079">
        <v>0</v>
      </c>
      <c r="P15" s="1079">
        <v>0</v>
      </c>
      <c r="Q15" s="1079">
        <v>0</v>
      </c>
      <c r="R15" s="1079">
        <v>0</v>
      </c>
      <c r="S15" s="1079">
        <v>0</v>
      </c>
      <c r="T15" s="1079">
        <v>0</v>
      </c>
      <c r="U15" s="1079">
        <v>0</v>
      </c>
      <c r="V15" s="1079">
        <v>0</v>
      </c>
      <c r="W15" s="1079">
        <v>0</v>
      </c>
      <c r="X15" s="1079">
        <v>0</v>
      </c>
      <c r="Y15" s="1079">
        <v>0</v>
      </c>
      <c r="Z15" s="1079">
        <v>0</v>
      </c>
      <c r="AA15" s="1082">
        <v>0</v>
      </c>
      <c r="AB15" s="1082">
        <v>0</v>
      </c>
      <c r="AC15" s="1082">
        <v>0</v>
      </c>
      <c r="AD15" s="1082">
        <v>0</v>
      </c>
      <c r="AE15" s="1082">
        <v>0</v>
      </c>
      <c r="AF15" s="1082">
        <v>0</v>
      </c>
      <c r="AG15" s="1082">
        <v>0</v>
      </c>
      <c r="AH15" s="1082">
        <v>0</v>
      </c>
      <c r="AI15" s="1082">
        <v>0</v>
      </c>
      <c r="AJ15" s="1082">
        <v>721372</v>
      </c>
      <c r="AK15" s="1082">
        <v>0</v>
      </c>
      <c r="AL15" s="1082">
        <v>15437521</v>
      </c>
      <c r="AM15" s="1082">
        <v>0</v>
      </c>
      <c r="AN15" s="1082">
        <v>0</v>
      </c>
      <c r="AO15" s="1082">
        <v>0</v>
      </c>
      <c r="AP15" s="1082">
        <v>0</v>
      </c>
      <c r="AQ15" s="1082">
        <v>0</v>
      </c>
      <c r="AR15" s="1082">
        <v>0</v>
      </c>
      <c r="AS15" s="1082">
        <v>0</v>
      </c>
      <c r="AT15" s="1082">
        <v>0</v>
      </c>
      <c r="AU15" s="1082">
        <v>0</v>
      </c>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row>
    <row r="16" spans="1:101" s="1077" customFormat="1" ht="30" x14ac:dyDescent="0.25">
      <c r="A16" s="99">
        <v>21</v>
      </c>
      <c r="B16" s="99"/>
      <c r="C16" s="1084">
        <v>21</v>
      </c>
      <c r="D16" s="1085" t="s">
        <v>385</v>
      </c>
      <c r="E16" s="1086">
        <v>0</v>
      </c>
      <c r="F16" s="1067">
        <v>0</v>
      </c>
      <c r="G16" s="1067">
        <v>0</v>
      </c>
      <c r="H16" s="1067">
        <v>0</v>
      </c>
      <c r="I16" s="1067">
        <v>0</v>
      </c>
      <c r="J16" s="1068">
        <v>0</v>
      </c>
      <c r="K16" s="1082">
        <v>0</v>
      </c>
      <c r="L16" s="1079">
        <v>0</v>
      </c>
      <c r="M16" s="1079">
        <v>0</v>
      </c>
      <c r="N16" s="1079">
        <v>0</v>
      </c>
      <c r="O16" s="1079">
        <v>0</v>
      </c>
      <c r="P16" s="1079">
        <v>0</v>
      </c>
      <c r="Q16" s="1079">
        <v>0</v>
      </c>
      <c r="R16" s="1079">
        <v>0</v>
      </c>
      <c r="S16" s="1079">
        <v>0</v>
      </c>
      <c r="T16" s="1079">
        <v>0</v>
      </c>
      <c r="U16" s="1079">
        <v>0</v>
      </c>
      <c r="V16" s="1079">
        <v>0</v>
      </c>
      <c r="W16" s="1079">
        <v>0</v>
      </c>
      <c r="X16" s="1079">
        <v>0</v>
      </c>
      <c r="Y16" s="1079">
        <v>0</v>
      </c>
      <c r="Z16" s="1079">
        <v>0</v>
      </c>
      <c r="AA16" s="1082">
        <v>0</v>
      </c>
      <c r="AB16" s="1082">
        <v>0</v>
      </c>
      <c r="AC16" s="1082">
        <v>0</v>
      </c>
      <c r="AD16" s="1082">
        <v>0</v>
      </c>
      <c r="AE16" s="1082">
        <v>0</v>
      </c>
      <c r="AF16" s="1082">
        <v>0</v>
      </c>
      <c r="AG16" s="1082">
        <v>0</v>
      </c>
      <c r="AH16" s="1082">
        <v>0</v>
      </c>
      <c r="AI16" s="1082">
        <v>0</v>
      </c>
      <c r="AJ16" s="1082">
        <v>0</v>
      </c>
      <c r="AK16" s="1082">
        <v>0</v>
      </c>
      <c r="AL16" s="1082">
        <v>0</v>
      </c>
      <c r="AM16" s="1082">
        <v>0</v>
      </c>
      <c r="AN16" s="1082">
        <v>0</v>
      </c>
      <c r="AO16" s="1082">
        <v>0</v>
      </c>
      <c r="AP16" s="1082">
        <v>0</v>
      </c>
      <c r="AQ16" s="1082">
        <v>0</v>
      </c>
      <c r="AR16" s="1082">
        <v>0</v>
      </c>
      <c r="AS16" s="1082">
        <v>0</v>
      </c>
      <c r="AT16" s="1082">
        <v>0</v>
      </c>
      <c r="AU16" s="1082">
        <v>0</v>
      </c>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row>
    <row r="17" spans="1:47" s="1077" customFormat="1" x14ac:dyDescent="0.25">
      <c r="A17" s="99">
        <v>22</v>
      </c>
      <c r="B17" s="1088">
        <v>22</v>
      </c>
      <c r="C17" s="1084">
        <v>22</v>
      </c>
      <c r="D17" s="1085" t="s">
        <v>212</v>
      </c>
      <c r="E17" s="1086">
        <v>0</v>
      </c>
      <c r="F17" s="1067">
        <v>0</v>
      </c>
      <c r="G17" s="1067">
        <v>0</v>
      </c>
      <c r="H17" s="1067">
        <v>0</v>
      </c>
      <c r="I17" s="1067">
        <v>0</v>
      </c>
      <c r="J17" s="1068">
        <v>0</v>
      </c>
      <c r="K17" s="1082">
        <v>0</v>
      </c>
      <c r="L17" s="1079">
        <v>0</v>
      </c>
      <c r="M17" s="1079">
        <v>0</v>
      </c>
      <c r="N17" s="1079">
        <v>0</v>
      </c>
      <c r="O17" s="1079">
        <v>0</v>
      </c>
      <c r="P17" s="1079">
        <v>0</v>
      </c>
      <c r="Q17" s="1079">
        <v>0</v>
      </c>
      <c r="R17" s="1079">
        <v>0</v>
      </c>
      <c r="S17" s="1079">
        <v>0</v>
      </c>
      <c r="T17" s="1079">
        <v>0</v>
      </c>
      <c r="U17" s="1079">
        <v>0</v>
      </c>
      <c r="V17" s="1079">
        <v>0</v>
      </c>
      <c r="W17" s="1079">
        <v>0</v>
      </c>
      <c r="X17" s="1079">
        <v>0</v>
      </c>
      <c r="Y17" s="1079">
        <v>0</v>
      </c>
      <c r="Z17" s="1079">
        <v>0</v>
      </c>
      <c r="AA17" s="1082">
        <v>0</v>
      </c>
      <c r="AB17" s="1082">
        <v>0</v>
      </c>
      <c r="AC17" s="1082">
        <v>0</v>
      </c>
      <c r="AD17" s="1082">
        <v>0</v>
      </c>
      <c r="AE17" s="1082">
        <v>0</v>
      </c>
      <c r="AF17" s="1082">
        <v>0</v>
      </c>
      <c r="AG17" s="1082">
        <v>0</v>
      </c>
      <c r="AH17" s="1082">
        <v>0</v>
      </c>
      <c r="AI17" s="1082">
        <v>0</v>
      </c>
      <c r="AJ17" s="1082">
        <v>530837</v>
      </c>
      <c r="AK17" s="1082">
        <v>0</v>
      </c>
      <c r="AL17" s="1082">
        <v>0</v>
      </c>
      <c r="AM17" s="1082">
        <v>0</v>
      </c>
      <c r="AN17" s="1082">
        <v>31380</v>
      </c>
      <c r="AO17" s="1082">
        <v>0</v>
      </c>
      <c r="AP17" s="1082">
        <v>0</v>
      </c>
      <c r="AQ17" s="1082">
        <v>0</v>
      </c>
      <c r="AR17" s="1082">
        <v>247965</v>
      </c>
      <c r="AS17" s="1082">
        <v>0</v>
      </c>
      <c r="AT17" s="1082">
        <v>0</v>
      </c>
      <c r="AU17" s="1082">
        <v>0</v>
      </c>
    </row>
    <row r="18" spans="1:47" s="1077" customFormat="1" x14ac:dyDescent="0.25">
      <c r="A18" s="99">
        <v>23</v>
      </c>
      <c r="B18" s="1088">
        <v>23</v>
      </c>
      <c r="C18" s="1084">
        <v>23</v>
      </c>
      <c r="D18" s="1085" t="s">
        <v>215</v>
      </c>
      <c r="E18" s="1086">
        <v>0</v>
      </c>
      <c r="F18" s="1067">
        <v>0</v>
      </c>
      <c r="G18" s="1067">
        <v>27778</v>
      </c>
      <c r="H18" s="1067">
        <v>0</v>
      </c>
      <c r="I18" s="1067">
        <v>0</v>
      </c>
      <c r="J18" s="1068">
        <v>-10532</v>
      </c>
      <c r="K18" s="1082">
        <v>262701</v>
      </c>
      <c r="L18" s="1079">
        <v>0</v>
      </c>
      <c r="M18" s="1079">
        <v>0</v>
      </c>
      <c r="N18" s="1079">
        <v>0</v>
      </c>
      <c r="O18" s="1079">
        <v>0</v>
      </c>
      <c r="P18" s="1079">
        <v>0</v>
      </c>
      <c r="Q18" s="1079">
        <v>0</v>
      </c>
      <c r="R18" s="1079">
        <v>0</v>
      </c>
      <c r="S18" s="1079">
        <v>12399</v>
      </c>
      <c r="T18" s="1079">
        <v>0</v>
      </c>
      <c r="U18" s="1079">
        <v>20366</v>
      </c>
      <c r="V18" s="1079">
        <v>1096389</v>
      </c>
      <c r="W18" s="1079">
        <v>0</v>
      </c>
      <c r="X18" s="1079">
        <v>-8438</v>
      </c>
      <c r="Y18" s="1079">
        <v>0</v>
      </c>
      <c r="Z18" s="1079">
        <v>-10527</v>
      </c>
      <c r="AA18" s="1082">
        <v>-27294</v>
      </c>
      <c r="AB18" s="1082">
        <v>0</v>
      </c>
      <c r="AC18" s="1082">
        <v>9334</v>
      </c>
      <c r="AD18" s="1082">
        <v>19929</v>
      </c>
      <c r="AE18" s="1082">
        <v>21711</v>
      </c>
      <c r="AF18" s="1082">
        <v>-515050</v>
      </c>
      <c r="AG18" s="1082">
        <v>0</v>
      </c>
      <c r="AH18" s="1082">
        <v>5494</v>
      </c>
      <c r="AI18" s="1082">
        <v>0</v>
      </c>
      <c r="AJ18" s="1082">
        <v>2057388</v>
      </c>
      <c r="AK18" s="1082">
        <v>876342</v>
      </c>
      <c r="AL18" s="1082">
        <v>2400180</v>
      </c>
      <c r="AM18" s="1082">
        <v>-66207</v>
      </c>
      <c r="AN18" s="1082">
        <v>37337</v>
      </c>
      <c r="AO18" s="1082">
        <v>3744</v>
      </c>
      <c r="AP18" s="1082">
        <v>2781</v>
      </c>
      <c r="AQ18" s="1082">
        <v>-10165</v>
      </c>
      <c r="AR18" s="1082">
        <v>174613</v>
      </c>
      <c r="AS18" s="1082">
        <v>0</v>
      </c>
      <c r="AT18" s="1082">
        <v>0</v>
      </c>
      <c r="AU18" s="1082">
        <v>93623</v>
      </c>
    </row>
    <row r="19" spans="1:47" s="1077" customFormat="1" ht="30" x14ac:dyDescent="0.25">
      <c r="A19" s="99">
        <v>31</v>
      </c>
      <c r="B19" s="1088">
        <v>31</v>
      </c>
      <c r="C19" s="1084">
        <v>31</v>
      </c>
      <c r="D19" s="1085" t="s">
        <v>1447</v>
      </c>
      <c r="E19" s="1086">
        <v>23395</v>
      </c>
      <c r="F19" s="1067">
        <v>0</v>
      </c>
      <c r="G19" s="1067">
        <v>0</v>
      </c>
      <c r="H19" s="1067">
        <v>-471402</v>
      </c>
      <c r="I19" s="1067">
        <v>142303</v>
      </c>
      <c r="J19" s="1068">
        <v>0</v>
      </c>
      <c r="K19" s="1082">
        <v>0</v>
      </c>
      <c r="L19" s="1079">
        <v>0</v>
      </c>
      <c r="M19" s="1079">
        <v>2958021</v>
      </c>
      <c r="N19" s="1079">
        <v>-1480304</v>
      </c>
      <c r="O19" s="1079">
        <v>-121599</v>
      </c>
      <c r="P19" s="1079">
        <v>-22171</v>
      </c>
      <c r="Q19" s="1079">
        <v>1253740</v>
      </c>
      <c r="R19" s="1079">
        <v>0</v>
      </c>
      <c r="S19" s="1079">
        <v>0</v>
      </c>
      <c r="T19" s="1079">
        <v>0</v>
      </c>
      <c r="U19" s="1079">
        <v>0</v>
      </c>
      <c r="V19" s="1079">
        <v>0</v>
      </c>
      <c r="W19" s="1079">
        <v>11794</v>
      </c>
      <c r="X19" s="1079">
        <v>0</v>
      </c>
      <c r="Y19" s="1079">
        <v>22331</v>
      </c>
      <c r="Z19" s="1079">
        <v>0</v>
      </c>
      <c r="AA19" s="1082">
        <v>0</v>
      </c>
      <c r="AB19" s="1082">
        <v>0</v>
      </c>
      <c r="AC19" s="1082">
        <v>0</v>
      </c>
      <c r="AD19" s="1082">
        <v>0</v>
      </c>
      <c r="AE19" s="1082">
        <v>0</v>
      </c>
      <c r="AF19" s="1082">
        <v>0</v>
      </c>
      <c r="AG19" s="1082">
        <v>6837097</v>
      </c>
      <c r="AH19" s="1082">
        <v>0</v>
      </c>
      <c r="AI19" s="1082">
        <v>0</v>
      </c>
      <c r="AJ19" s="1082">
        <v>227819</v>
      </c>
      <c r="AK19" s="1082">
        <v>0</v>
      </c>
      <c r="AL19" s="1082">
        <v>234251</v>
      </c>
      <c r="AM19" s="1082">
        <v>0</v>
      </c>
      <c r="AN19" s="1082">
        <v>0</v>
      </c>
      <c r="AO19" s="1082">
        <v>0</v>
      </c>
      <c r="AP19" s="1082">
        <v>0</v>
      </c>
      <c r="AQ19" s="1082">
        <v>0</v>
      </c>
      <c r="AR19" s="1082">
        <v>0</v>
      </c>
      <c r="AS19" s="1082">
        <v>480199</v>
      </c>
      <c r="AT19" s="1082">
        <v>358592</v>
      </c>
      <c r="AU19" s="1082">
        <v>0</v>
      </c>
    </row>
    <row r="20" spans="1:47" s="1077" customFormat="1" ht="45" x14ac:dyDescent="0.25">
      <c r="A20" s="99">
        <v>32</v>
      </c>
      <c r="B20" s="1088">
        <v>32</v>
      </c>
      <c r="C20" s="1084">
        <v>32</v>
      </c>
      <c r="D20" s="1089" t="s">
        <v>298</v>
      </c>
      <c r="E20" s="1086">
        <v>28602</v>
      </c>
      <c r="F20" s="1067">
        <v>0</v>
      </c>
      <c r="G20" s="1067">
        <v>0</v>
      </c>
      <c r="H20" s="1067">
        <v>1225628</v>
      </c>
      <c r="I20" s="1067">
        <v>0</v>
      </c>
      <c r="J20" s="1068">
        <v>0</v>
      </c>
      <c r="K20" s="1082">
        <v>0</v>
      </c>
      <c r="L20" s="1079">
        <v>0</v>
      </c>
      <c r="M20" s="1079">
        <v>2087186</v>
      </c>
      <c r="N20" s="1079">
        <v>8030803</v>
      </c>
      <c r="O20" s="1079">
        <v>216025</v>
      </c>
      <c r="P20" s="1079">
        <v>58929</v>
      </c>
      <c r="Q20" s="1079">
        <v>3076129</v>
      </c>
      <c r="R20" s="1079">
        <v>0</v>
      </c>
      <c r="S20" s="1079">
        <v>0</v>
      </c>
      <c r="T20" s="1079">
        <v>0</v>
      </c>
      <c r="U20" s="1079">
        <v>0</v>
      </c>
      <c r="V20" s="1079">
        <v>0</v>
      </c>
      <c r="W20" s="1079">
        <v>276171</v>
      </c>
      <c r="X20" s="1079">
        <v>0</v>
      </c>
      <c r="Y20" s="1079">
        <v>264788</v>
      </c>
      <c r="Z20" s="1079">
        <v>0</v>
      </c>
      <c r="AA20" s="1082">
        <v>0</v>
      </c>
      <c r="AB20" s="1082">
        <v>0</v>
      </c>
      <c r="AC20" s="1082">
        <v>0</v>
      </c>
      <c r="AD20" s="1082">
        <v>0</v>
      </c>
      <c r="AE20" s="1082">
        <v>0</v>
      </c>
      <c r="AF20" s="1082">
        <v>0</v>
      </c>
      <c r="AG20" s="1082">
        <v>2711072</v>
      </c>
      <c r="AH20" s="1082">
        <v>0</v>
      </c>
      <c r="AI20" s="1082">
        <v>0</v>
      </c>
      <c r="AJ20" s="1082">
        <v>268112</v>
      </c>
      <c r="AK20" s="1082">
        <v>0</v>
      </c>
      <c r="AL20" s="1082">
        <v>2675317</v>
      </c>
      <c r="AM20" s="1082">
        <v>0</v>
      </c>
      <c r="AN20" s="1082">
        <v>0</v>
      </c>
      <c r="AO20" s="1082">
        <v>0</v>
      </c>
      <c r="AP20" s="1082">
        <v>0</v>
      </c>
      <c r="AQ20" s="1082">
        <v>0</v>
      </c>
      <c r="AR20" s="1082">
        <v>0</v>
      </c>
      <c r="AS20" s="1082">
        <v>454123</v>
      </c>
      <c r="AT20" s="1082">
        <v>212282</v>
      </c>
      <c r="AU20" s="1082">
        <v>0</v>
      </c>
    </row>
    <row r="21" spans="1:47" s="1077" customFormat="1" ht="30" x14ac:dyDescent="0.25">
      <c r="A21" s="99">
        <v>33</v>
      </c>
      <c r="B21" s="1088">
        <v>33</v>
      </c>
      <c r="C21" s="1084">
        <v>33</v>
      </c>
      <c r="D21" s="1089" t="s">
        <v>299</v>
      </c>
      <c r="E21" s="1086">
        <v>-265676</v>
      </c>
      <c r="F21" s="1067">
        <v>560248</v>
      </c>
      <c r="G21" s="1067">
        <v>0</v>
      </c>
      <c r="H21" s="1067">
        <v>-2391199</v>
      </c>
      <c r="I21" s="1067">
        <v>-25921</v>
      </c>
      <c r="J21" s="1068">
        <v>0</v>
      </c>
      <c r="K21" s="1082">
        <v>0</v>
      </c>
      <c r="L21" s="1079">
        <v>0</v>
      </c>
      <c r="M21" s="1079">
        <v>-8843837</v>
      </c>
      <c r="N21" s="1079">
        <v>3596426</v>
      </c>
      <c r="O21" s="1079">
        <v>-468041</v>
      </c>
      <c r="P21" s="1079">
        <v>45829</v>
      </c>
      <c r="Q21" s="1079">
        <v>4109208</v>
      </c>
      <c r="R21" s="1079">
        <v>0</v>
      </c>
      <c r="S21" s="1079">
        <v>0</v>
      </c>
      <c r="T21" s="1079">
        <v>0</v>
      </c>
      <c r="U21" s="1079">
        <v>0</v>
      </c>
      <c r="V21" s="1079">
        <v>0</v>
      </c>
      <c r="W21" s="1079">
        <v>950639</v>
      </c>
      <c r="X21" s="1079">
        <v>0</v>
      </c>
      <c r="Y21" s="1079">
        <v>-1426331</v>
      </c>
      <c r="Z21" s="1079">
        <v>0</v>
      </c>
      <c r="AA21" s="1082">
        <v>0</v>
      </c>
      <c r="AB21" s="1082">
        <v>0</v>
      </c>
      <c r="AC21" s="1082">
        <v>0</v>
      </c>
      <c r="AD21" s="1082">
        <v>0</v>
      </c>
      <c r="AE21" s="1082">
        <v>0</v>
      </c>
      <c r="AF21" s="1082">
        <v>0</v>
      </c>
      <c r="AG21" s="1082">
        <v>2139709</v>
      </c>
      <c r="AH21" s="1082">
        <v>0</v>
      </c>
      <c r="AI21" s="1082">
        <v>0</v>
      </c>
      <c r="AJ21" s="1082">
        <v>-287513</v>
      </c>
      <c r="AK21" s="1082">
        <v>0</v>
      </c>
      <c r="AL21" s="1082">
        <v>-7366938</v>
      </c>
      <c r="AM21" s="1082">
        <v>0</v>
      </c>
      <c r="AN21" s="1082">
        <v>0</v>
      </c>
      <c r="AO21" s="1082">
        <v>0</v>
      </c>
      <c r="AP21" s="1082">
        <v>0</v>
      </c>
      <c r="AQ21" s="1082">
        <v>0</v>
      </c>
      <c r="AR21" s="1082">
        <v>0</v>
      </c>
      <c r="AS21" s="1082">
        <v>-3064968</v>
      </c>
      <c r="AT21" s="1082">
        <v>-469315</v>
      </c>
      <c r="AU21" s="1082">
        <v>0</v>
      </c>
    </row>
    <row r="22" spans="1:47" s="1077" customFormat="1" ht="25.5" x14ac:dyDescent="0.25">
      <c r="A22" s="99">
        <v>34</v>
      </c>
      <c r="B22" s="99"/>
      <c r="C22" s="1084">
        <v>34</v>
      </c>
      <c r="D22" s="1090" t="s">
        <v>300</v>
      </c>
      <c r="E22" s="1086">
        <v>0</v>
      </c>
      <c r="F22" s="1067">
        <v>0</v>
      </c>
      <c r="G22" s="1067">
        <v>0</v>
      </c>
      <c r="H22" s="1067">
        <v>0</v>
      </c>
      <c r="I22" s="1067">
        <v>0</v>
      </c>
      <c r="J22" s="1068">
        <v>0</v>
      </c>
      <c r="K22" s="1082">
        <v>0</v>
      </c>
      <c r="L22" s="1079">
        <v>0</v>
      </c>
      <c r="M22" s="1079">
        <v>0</v>
      </c>
      <c r="N22" s="1079">
        <v>0</v>
      </c>
      <c r="O22" s="1079">
        <v>0</v>
      </c>
      <c r="P22" s="1079">
        <v>0</v>
      </c>
      <c r="Q22" s="1079">
        <v>0</v>
      </c>
      <c r="R22" s="1079">
        <v>0</v>
      </c>
      <c r="S22" s="1079">
        <v>0</v>
      </c>
      <c r="T22" s="1079">
        <v>0</v>
      </c>
      <c r="U22" s="1079">
        <v>0</v>
      </c>
      <c r="V22" s="1079">
        <v>0</v>
      </c>
      <c r="W22" s="1079">
        <v>0</v>
      </c>
      <c r="X22" s="1079">
        <v>0</v>
      </c>
      <c r="Y22" s="1079">
        <v>0</v>
      </c>
      <c r="Z22" s="1079">
        <v>0</v>
      </c>
      <c r="AA22" s="1082">
        <v>0</v>
      </c>
      <c r="AB22" s="1082">
        <v>0</v>
      </c>
      <c r="AC22" s="1082">
        <v>0</v>
      </c>
      <c r="AD22" s="1082">
        <v>0</v>
      </c>
      <c r="AE22" s="1082">
        <v>0</v>
      </c>
      <c r="AF22" s="1082">
        <v>0</v>
      </c>
      <c r="AG22" s="1082">
        <v>0</v>
      </c>
      <c r="AH22" s="1082">
        <v>0</v>
      </c>
      <c r="AI22" s="1082">
        <v>0</v>
      </c>
      <c r="AJ22" s="1082">
        <v>0</v>
      </c>
      <c r="AK22" s="1082">
        <v>0</v>
      </c>
      <c r="AL22" s="1082">
        <v>0</v>
      </c>
      <c r="AM22" s="1082">
        <v>0</v>
      </c>
      <c r="AN22" s="1082">
        <v>0</v>
      </c>
      <c r="AO22" s="1082">
        <v>0</v>
      </c>
      <c r="AP22" s="1082">
        <v>0</v>
      </c>
      <c r="AQ22" s="1082">
        <v>0</v>
      </c>
      <c r="AR22" s="1082">
        <v>0</v>
      </c>
      <c r="AS22" s="1082">
        <v>0</v>
      </c>
      <c r="AT22" s="1082">
        <v>0</v>
      </c>
      <c r="AU22" s="1082">
        <v>0</v>
      </c>
    </row>
    <row r="23" spans="1:47" s="1077" customFormat="1" x14ac:dyDescent="0.25">
      <c r="A23" s="99">
        <v>35</v>
      </c>
      <c r="B23" s="99"/>
      <c r="C23" s="1084">
        <v>35</v>
      </c>
      <c r="D23" s="1090" t="s">
        <v>386</v>
      </c>
      <c r="E23" s="1086">
        <v>0</v>
      </c>
      <c r="F23" s="1067">
        <v>0</v>
      </c>
      <c r="G23" s="1067">
        <v>0</v>
      </c>
      <c r="H23" s="1067">
        <v>0</v>
      </c>
      <c r="I23" s="1067">
        <v>0</v>
      </c>
      <c r="J23" s="1068">
        <v>0</v>
      </c>
      <c r="K23" s="1082">
        <v>0</v>
      </c>
      <c r="L23" s="1079">
        <v>0</v>
      </c>
      <c r="M23" s="1079">
        <v>0</v>
      </c>
      <c r="N23" s="1079">
        <v>0</v>
      </c>
      <c r="O23" s="1079">
        <v>0</v>
      </c>
      <c r="P23" s="1079">
        <v>0</v>
      </c>
      <c r="Q23" s="1079">
        <v>0</v>
      </c>
      <c r="R23" s="1079">
        <v>0</v>
      </c>
      <c r="S23" s="1079">
        <v>0</v>
      </c>
      <c r="T23" s="1079">
        <v>0</v>
      </c>
      <c r="U23" s="1079">
        <v>0</v>
      </c>
      <c r="V23" s="1079">
        <v>0</v>
      </c>
      <c r="W23" s="1079">
        <v>0</v>
      </c>
      <c r="X23" s="1079">
        <v>0</v>
      </c>
      <c r="Y23" s="1079">
        <v>0</v>
      </c>
      <c r="Z23" s="1079">
        <v>0</v>
      </c>
      <c r="AA23" s="1082">
        <v>0</v>
      </c>
      <c r="AB23" s="1082">
        <v>0</v>
      </c>
      <c r="AC23" s="1082">
        <v>0</v>
      </c>
      <c r="AD23" s="1082">
        <v>0</v>
      </c>
      <c r="AE23" s="1082">
        <v>0</v>
      </c>
      <c r="AF23" s="1082">
        <v>0</v>
      </c>
      <c r="AG23" s="1082">
        <v>0</v>
      </c>
      <c r="AH23" s="1082">
        <v>0</v>
      </c>
      <c r="AI23" s="1082">
        <v>0</v>
      </c>
      <c r="AJ23" s="1082">
        <v>0</v>
      </c>
      <c r="AK23" s="1082">
        <v>0</v>
      </c>
      <c r="AL23" s="1082">
        <v>0</v>
      </c>
      <c r="AM23" s="1082">
        <v>0</v>
      </c>
      <c r="AN23" s="1082">
        <v>0</v>
      </c>
      <c r="AO23" s="1082">
        <v>0</v>
      </c>
      <c r="AP23" s="1082">
        <v>0</v>
      </c>
      <c r="AQ23" s="1082">
        <v>0</v>
      </c>
      <c r="AR23" s="1082">
        <v>0</v>
      </c>
      <c r="AS23" s="1082">
        <v>0</v>
      </c>
      <c r="AT23" s="1082">
        <v>0</v>
      </c>
      <c r="AU23" s="1082">
        <v>0</v>
      </c>
    </row>
    <row r="24" spans="1:47" s="1077" customFormat="1" ht="25.5" x14ac:dyDescent="0.25">
      <c r="A24" s="99">
        <v>36</v>
      </c>
      <c r="B24" s="99"/>
      <c r="C24" s="1084">
        <v>36</v>
      </c>
      <c r="D24" s="1090" t="s">
        <v>387</v>
      </c>
      <c r="E24" s="1086">
        <v>0</v>
      </c>
      <c r="F24" s="1067">
        <v>0</v>
      </c>
      <c r="G24" s="1067">
        <v>0</v>
      </c>
      <c r="H24" s="1067">
        <v>0</v>
      </c>
      <c r="I24" s="1067">
        <v>0</v>
      </c>
      <c r="J24" s="1068">
        <v>0</v>
      </c>
      <c r="K24" s="1082">
        <v>0</v>
      </c>
      <c r="L24" s="1079">
        <v>0</v>
      </c>
      <c r="M24" s="1079">
        <v>0</v>
      </c>
      <c r="N24" s="1079">
        <v>0</v>
      </c>
      <c r="O24" s="1079">
        <v>0</v>
      </c>
      <c r="P24" s="1079">
        <v>0</v>
      </c>
      <c r="Q24" s="1079">
        <v>0</v>
      </c>
      <c r="R24" s="1079">
        <v>0</v>
      </c>
      <c r="S24" s="1079">
        <v>0</v>
      </c>
      <c r="T24" s="1079">
        <v>0</v>
      </c>
      <c r="U24" s="1079">
        <v>0</v>
      </c>
      <c r="V24" s="1079">
        <v>0</v>
      </c>
      <c r="W24" s="1079">
        <v>0</v>
      </c>
      <c r="X24" s="1079">
        <v>0</v>
      </c>
      <c r="Y24" s="1079">
        <v>0</v>
      </c>
      <c r="Z24" s="1079">
        <v>0</v>
      </c>
      <c r="AA24" s="1082">
        <v>0</v>
      </c>
      <c r="AB24" s="1082">
        <v>0</v>
      </c>
      <c r="AC24" s="1082">
        <v>0</v>
      </c>
      <c r="AD24" s="1082">
        <v>0</v>
      </c>
      <c r="AE24" s="1082">
        <v>0</v>
      </c>
      <c r="AF24" s="1082">
        <v>0</v>
      </c>
      <c r="AG24" s="1082">
        <v>0</v>
      </c>
      <c r="AH24" s="1082">
        <v>0</v>
      </c>
      <c r="AI24" s="1082">
        <v>0</v>
      </c>
      <c r="AJ24" s="1082">
        <v>0</v>
      </c>
      <c r="AK24" s="1082">
        <v>0</v>
      </c>
      <c r="AL24" s="1082">
        <v>0</v>
      </c>
      <c r="AM24" s="1082">
        <v>0</v>
      </c>
      <c r="AN24" s="1082">
        <v>0</v>
      </c>
      <c r="AO24" s="1082">
        <v>0</v>
      </c>
      <c r="AP24" s="1082">
        <v>0</v>
      </c>
      <c r="AQ24" s="1082">
        <v>0</v>
      </c>
      <c r="AR24" s="1082">
        <v>0</v>
      </c>
      <c r="AS24" s="1082">
        <v>0</v>
      </c>
      <c r="AT24" s="1082">
        <v>0</v>
      </c>
      <c r="AU24" s="1082">
        <v>0</v>
      </c>
    </row>
    <row r="25" spans="1:47" s="1077" customFormat="1" ht="25.5" x14ac:dyDescent="0.25">
      <c r="A25" s="99">
        <v>37</v>
      </c>
      <c r="B25" s="99"/>
      <c r="C25" s="1084">
        <v>37</v>
      </c>
      <c r="D25" s="1090" t="s">
        <v>301</v>
      </c>
      <c r="E25" s="1086">
        <v>0</v>
      </c>
      <c r="F25" s="1067">
        <v>0</v>
      </c>
      <c r="G25" s="1067">
        <v>0</v>
      </c>
      <c r="H25" s="1067">
        <v>0</v>
      </c>
      <c r="I25" s="1067">
        <v>0</v>
      </c>
      <c r="J25" s="1068">
        <v>0</v>
      </c>
      <c r="K25" s="1082">
        <v>0</v>
      </c>
      <c r="L25" s="1079">
        <v>0</v>
      </c>
      <c r="M25" s="1079">
        <v>0</v>
      </c>
      <c r="N25" s="1079">
        <v>0</v>
      </c>
      <c r="O25" s="1079">
        <v>0</v>
      </c>
      <c r="P25" s="1079">
        <v>0</v>
      </c>
      <c r="Q25" s="1079">
        <v>0</v>
      </c>
      <c r="R25" s="1079">
        <v>0</v>
      </c>
      <c r="S25" s="1079">
        <v>0</v>
      </c>
      <c r="T25" s="1079">
        <v>0</v>
      </c>
      <c r="U25" s="1079">
        <v>0</v>
      </c>
      <c r="V25" s="1079">
        <v>0</v>
      </c>
      <c r="W25" s="1079">
        <v>0</v>
      </c>
      <c r="X25" s="1079">
        <v>0</v>
      </c>
      <c r="Y25" s="1079">
        <v>0</v>
      </c>
      <c r="Z25" s="1079">
        <v>0</v>
      </c>
      <c r="AA25" s="1082">
        <v>0</v>
      </c>
      <c r="AB25" s="1082">
        <v>0</v>
      </c>
      <c r="AC25" s="1082">
        <v>0</v>
      </c>
      <c r="AD25" s="1082">
        <v>0</v>
      </c>
      <c r="AE25" s="1082">
        <v>0</v>
      </c>
      <c r="AF25" s="1082">
        <v>0</v>
      </c>
      <c r="AG25" s="1082">
        <v>0</v>
      </c>
      <c r="AH25" s="1082">
        <v>0</v>
      </c>
      <c r="AI25" s="1082">
        <v>0</v>
      </c>
      <c r="AJ25" s="1082">
        <v>0</v>
      </c>
      <c r="AK25" s="1082">
        <v>0</v>
      </c>
      <c r="AL25" s="1082">
        <v>0</v>
      </c>
      <c r="AM25" s="1082">
        <v>0</v>
      </c>
      <c r="AN25" s="1082">
        <v>0</v>
      </c>
      <c r="AO25" s="1082">
        <v>0</v>
      </c>
      <c r="AP25" s="1082">
        <v>0</v>
      </c>
      <c r="AQ25" s="1082">
        <v>0</v>
      </c>
      <c r="AR25" s="1082">
        <v>0</v>
      </c>
      <c r="AS25" s="1082">
        <v>0</v>
      </c>
      <c r="AT25" s="1082">
        <v>0</v>
      </c>
      <c r="AU25" s="1082">
        <v>0</v>
      </c>
    </row>
    <row r="26" spans="1:47" s="1077" customFormat="1" ht="25.5" x14ac:dyDescent="0.25">
      <c r="A26" s="99">
        <v>38</v>
      </c>
      <c r="B26" s="99"/>
      <c r="C26" s="1084">
        <v>38</v>
      </c>
      <c r="D26" s="1090" t="s">
        <v>388</v>
      </c>
      <c r="E26" s="1086">
        <v>0</v>
      </c>
      <c r="F26" s="1067">
        <v>0</v>
      </c>
      <c r="G26" s="1067">
        <v>0</v>
      </c>
      <c r="H26" s="1067">
        <v>0</v>
      </c>
      <c r="I26" s="1067">
        <v>0</v>
      </c>
      <c r="J26" s="1068">
        <v>0</v>
      </c>
      <c r="K26" s="1082">
        <v>0</v>
      </c>
      <c r="L26" s="1079">
        <v>0</v>
      </c>
      <c r="M26" s="1079">
        <v>0</v>
      </c>
      <c r="N26" s="1079">
        <v>0</v>
      </c>
      <c r="O26" s="1079">
        <v>0</v>
      </c>
      <c r="P26" s="1079">
        <v>0</v>
      </c>
      <c r="Q26" s="1079">
        <v>0</v>
      </c>
      <c r="R26" s="1079">
        <v>0</v>
      </c>
      <c r="S26" s="1079">
        <v>0</v>
      </c>
      <c r="T26" s="1079">
        <v>0</v>
      </c>
      <c r="U26" s="1079">
        <v>0</v>
      </c>
      <c r="V26" s="1079">
        <v>0</v>
      </c>
      <c r="W26" s="1079">
        <v>0</v>
      </c>
      <c r="X26" s="1079">
        <v>0</v>
      </c>
      <c r="Y26" s="1079">
        <v>0</v>
      </c>
      <c r="Z26" s="1079">
        <v>0</v>
      </c>
      <c r="AA26" s="1082">
        <v>0</v>
      </c>
      <c r="AB26" s="1082">
        <v>0</v>
      </c>
      <c r="AC26" s="1082">
        <v>0</v>
      </c>
      <c r="AD26" s="1082">
        <v>0</v>
      </c>
      <c r="AE26" s="1082">
        <v>0</v>
      </c>
      <c r="AF26" s="1082">
        <v>0</v>
      </c>
      <c r="AG26" s="1082">
        <v>0</v>
      </c>
      <c r="AH26" s="1082">
        <v>0</v>
      </c>
      <c r="AI26" s="1082">
        <v>0</v>
      </c>
      <c r="AJ26" s="1082">
        <v>0</v>
      </c>
      <c r="AK26" s="1082">
        <v>0</v>
      </c>
      <c r="AL26" s="1082">
        <v>0</v>
      </c>
      <c r="AM26" s="1082">
        <v>0</v>
      </c>
      <c r="AN26" s="1082">
        <v>0</v>
      </c>
      <c r="AO26" s="1082">
        <v>0</v>
      </c>
      <c r="AP26" s="1082">
        <v>0</v>
      </c>
      <c r="AQ26" s="1082">
        <v>0</v>
      </c>
      <c r="AR26" s="1082">
        <v>0</v>
      </c>
      <c r="AS26" s="1082">
        <v>0</v>
      </c>
      <c r="AT26" s="1082">
        <v>0</v>
      </c>
      <c r="AU26" s="1082">
        <v>0</v>
      </c>
    </row>
    <row r="27" spans="1:47" s="1077" customFormat="1" ht="25.5" x14ac:dyDescent="0.25">
      <c r="A27" s="99">
        <v>39</v>
      </c>
      <c r="B27" s="99"/>
      <c r="C27" s="1084">
        <v>39</v>
      </c>
      <c r="D27" s="1090" t="s">
        <v>302</v>
      </c>
      <c r="E27" s="1086">
        <v>0</v>
      </c>
      <c r="F27" s="1067">
        <v>0</v>
      </c>
      <c r="G27" s="1067">
        <v>0</v>
      </c>
      <c r="H27" s="1067">
        <v>0</v>
      </c>
      <c r="I27" s="1067">
        <v>0</v>
      </c>
      <c r="J27" s="1068">
        <v>0</v>
      </c>
      <c r="K27" s="1082">
        <v>0</v>
      </c>
      <c r="L27" s="1079">
        <v>0</v>
      </c>
      <c r="M27" s="1079">
        <v>0</v>
      </c>
      <c r="N27" s="1079">
        <v>0</v>
      </c>
      <c r="O27" s="1079">
        <v>0</v>
      </c>
      <c r="P27" s="1079">
        <v>0</v>
      </c>
      <c r="Q27" s="1079">
        <v>0</v>
      </c>
      <c r="R27" s="1079">
        <v>0</v>
      </c>
      <c r="S27" s="1079">
        <v>0</v>
      </c>
      <c r="T27" s="1079">
        <v>0</v>
      </c>
      <c r="U27" s="1079">
        <v>0</v>
      </c>
      <c r="V27" s="1079">
        <v>0</v>
      </c>
      <c r="W27" s="1079">
        <v>0</v>
      </c>
      <c r="X27" s="1079">
        <v>0</v>
      </c>
      <c r="Y27" s="1079">
        <v>0</v>
      </c>
      <c r="Z27" s="1079">
        <v>0</v>
      </c>
      <c r="AA27" s="1082">
        <v>0</v>
      </c>
      <c r="AB27" s="1082">
        <v>0</v>
      </c>
      <c r="AC27" s="1082">
        <v>0</v>
      </c>
      <c r="AD27" s="1082">
        <v>0</v>
      </c>
      <c r="AE27" s="1082">
        <v>0</v>
      </c>
      <c r="AF27" s="1082">
        <v>0</v>
      </c>
      <c r="AG27" s="1082">
        <v>0</v>
      </c>
      <c r="AH27" s="1082">
        <v>0</v>
      </c>
      <c r="AI27" s="1082">
        <v>0</v>
      </c>
      <c r="AJ27" s="1082">
        <v>0</v>
      </c>
      <c r="AK27" s="1082">
        <v>0</v>
      </c>
      <c r="AL27" s="1082">
        <v>0</v>
      </c>
      <c r="AM27" s="1082">
        <v>0</v>
      </c>
      <c r="AN27" s="1082">
        <v>0</v>
      </c>
      <c r="AO27" s="1082">
        <v>0</v>
      </c>
      <c r="AP27" s="1082">
        <v>0</v>
      </c>
      <c r="AQ27" s="1082">
        <v>0</v>
      </c>
      <c r="AR27" s="1082">
        <v>0</v>
      </c>
      <c r="AS27" s="1082">
        <v>0</v>
      </c>
      <c r="AT27" s="1082">
        <v>0</v>
      </c>
      <c r="AU27" s="1082">
        <v>0</v>
      </c>
    </row>
    <row r="28" spans="1:47" s="1077" customFormat="1" x14ac:dyDescent="0.25">
      <c r="A28" s="99">
        <v>40</v>
      </c>
      <c r="B28" s="99"/>
      <c r="C28" s="1084">
        <v>40</v>
      </c>
      <c r="D28" s="1090" t="s">
        <v>303</v>
      </c>
      <c r="E28" s="1086">
        <v>0</v>
      </c>
      <c r="F28" s="1067">
        <v>0</v>
      </c>
      <c r="G28" s="1067">
        <v>0</v>
      </c>
      <c r="H28" s="1067">
        <v>0</v>
      </c>
      <c r="I28" s="1067">
        <v>0</v>
      </c>
      <c r="J28" s="1068">
        <v>0</v>
      </c>
      <c r="K28" s="1082">
        <v>0</v>
      </c>
      <c r="L28" s="1079">
        <v>0</v>
      </c>
      <c r="M28" s="1079">
        <v>0</v>
      </c>
      <c r="N28" s="1079">
        <v>0</v>
      </c>
      <c r="O28" s="1079">
        <v>0</v>
      </c>
      <c r="P28" s="1079">
        <v>0</v>
      </c>
      <c r="Q28" s="1079">
        <v>0</v>
      </c>
      <c r="R28" s="1079">
        <v>0</v>
      </c>
      <c r="S28" s="1079">
        <v>0</v>
      </c>
      <c r="T28" s="1079">
        <v>0</v>
      </c>
      <c r="U28" s="1079">
        <v>0</v>
      </c>
      <c r="V28" s="1079">
        <v>0</v>
      </c>
      <c r="W28" s="1079">
        <v>0</v>
      </c>
      <c r="X28" s="1079">
        <v>0</v>
      </c>
      <c r="Y28" s="1079">
        <v>0</v>
      </c>
      <c r="Z28" s="1079">
        <v>0</v>
      </c>
      <c r="AA28" s="1082">
        <v>0</v>
      </c>
      <c r="AB28" s="1082">
        <v>0</v>
      </c>
      <c r="AC28" s="1082">
        <v>0</v>
      </c>
      <c r="AD28" s="1082">
        <v>0</v>
      </c>
      <c r="AE28" s="1082">
        <v>0</v>
      </c>
      <c r="AF28" s="1082">
        <v>0</v>
      </c>
      <c r="AG28" s="1082">
        <v>0</v>
      </c>
      <c r="AH28" s="1082">
        <v>0</v>
      </c>
      <c r="AI28" s="1082">
        <v>0</v>
      </c>
      <c r="AJ28" s="1082">
        <v>0</v>
      </c>
      <c r="AK28" s="1082">
        <v>0</v>
      </c>
      <c r="AL28" s="1082">
        <v>0</v>
      </c>
      <c r="AM28" s="1082">
        <v>0</v>
      </c>
      <c r="AN28" s="1082">
        <v>0</v>
      </c>
      <c r="AO28" s="1082">
        <v>0</v>
      </c>
      <c r="AP28" s="1082">
        <v>0</v>
      </c>
      <c r="AQ28" s="1082">
        <v>0</v>
      </c>
      <c r="AR28" s="1082">
        <v>0</v>
      </c>
      <c r="AS28" s="1082">
        <v>0</v>
      </c>
      <c r="AT28" s="1082">
        <v>0</v>
      </c>
      <c r="AU28" s="1082">
        <v>0</v>
      </c>
    </row>
    <row r="29" spans="1:47" s="1077" customFormat="1" x14ac:dyDescent="0.25">
      <c r="A29" s="99">
        <v>41</v>
      </c>
      <c r="B29" s="99"/>
      <c r="C29" s="1084">
        <v>41</v>
      </c>
      <c r="D29" s="1090" t="s">
        <v>304</v>
      </c>
      <c r="E29" s="1086">
        <v>0</v>
      </c>
      <c r="F29" s="1067">
        <v>0</v>
      </c>
      <c r="G29" s="1067">
        <v>0</v>
      </c>
      <c r="H29" s="1067">
        <v>0</v>
      </c>
      <c r="I29" s="1067">
        <v>0</v>
      </c>
      <c r="J29" s="1068">
        <v>0</v>
      </c>
      <c r="K29" s="1082">
        <v>0</v>
      </c>
      <c r="L29" s="1079">
        <v>0</v>
      </c>
      <c r="M29" s="1079">
        <v>0</v>
      </c>
      <c r="N29" s="1079">
        <v>0</v>
      </c>
      <c r="O29" s="1079">
        <v>0</v>
      </c>
      <c r="P29" s="1079">
        <v>0</v>
      </c>
      <c r="Q29" s="1079">
        <v>0</v>
      </c>
      <c r="R29" s="1079">
        <v>0</v>
      </c>
      <c r="S29" s="1079">
        <v>0</v>
      </c>
      <c r="T29" s="1079">
        <v>0</v>
      </c>
      <c r="U29" s="1079">
        <v>0</v>
      </c>
      <c r="V29" s="1079">
        <v>0</v>
      </c>
      <c r="W29" s="1079">
        <v>0</v>
      </c>
      <c r="X29" s="1079">
        <v>0</v>
      </c>
      <c r="Y29" s="1079">
        <v>0</v>
      </c>
      <c r="Z29" s="1079">
        <v>0</v>
      </c>
      <c r="AA29" s="1082">
        <v>0</v>
      </c>
      <c r="AB29" s="1082">
        <v>0</v>
      </c>
      <c r="AC29" s="1082">
        <v>0</v>
      </c>
      <c r="AD29" s="1082">
        <v>0</v>
      </c>
      <c r="AE29" s="1082">
        <v>0</v>
      </c>
      <c r="AF29" s="1082">
        <v>0</v>
      </c>
      <c r="AG29" s="1082">
        <v>0</v>
      </c>
      <c r="AH29" s="1082">
        <v>0</v>
      </c>
      <c r="AI29" s="1082">
        <v>0</v>
      </c>
      <c r="AJ29" s="1082">
        <v>0</v>
      </c>
      <c r="AK29" s="1082">
        <v>0</v>
      </c>
      <c r="AL29" s="1082">
        <v>0</v>
      </c>
      <c r="AM29" s="1082">
        <v>0</v>
      </c>
      <c r="AN29" s="1082">
        <v>0</v>
      </c>
      <c r="AO29" s="1082">
        <v>0</v>
      </c>
      <c r="AP29" s="1082">
        <v>0</v>
      </c>
      <c r="AQ29" s="1082">
        <v>0</v>
      </c>
      <c r="AR29" s="1082">
        <v>0</v>
      </c>
      <c r="AS29" s="1082">
        <v>0</v>
      </c>
      <c r="AT29" s="1082">
        <v>0</v>
      </c>
      <c r="AU29" s="1082">
        <v>0</v>
      </c>
    </row>
    <row r="30" spans="1:47" s="1077" customFormat="1" ht="45" x14ac:dyDescent="0.25">
      <c r="A30" s="99">
        <v>43</v>
      </c>
      <c r="B30" s="99"/>
      <c r="C30" s="1084">
        <v>43</v>
      </c>
      <c r="D30" s="1085" t="s">
        <v>305</v>
      </c>
      <c r="E30" s="1086">
        <v>0</v>
      </c>
      <c r="F30" s="1067">
        <v>0</v>
      </c>
      <c r="G30" s="1067">
        <v>0</v>
      </c>
      <c r="H30" s="1067">
        <v>0</v>
      </c>
      <c r="I30" s="1067">
        <v>0</v>
      </c>
      <c r="J30" s="1068">
        <v>0</v>
      </c>
      <c r="K30" s="1082">
        <v>0</v>
      </c>
      <c r="L30" s="1079">
        <v>0</v>
      </c>
      <c r="M30" s="1079">
        <v>0</v>
      </c>
      <c r="N30" s="1079">
        <v>0</v>
      </c>
      <c r="O30" s="1079">
        <v>0</v>
      </c>
      <c r="P30" s="1079">
        <v>0</v>
      </c>
      <c r="Q30" s="1079">
        <v>0</v>
      </c>
      <c r="R30" s="1079">
        <v>0</v>
      </c>
      <c r="S30" s="1079">
        <v>0</v>
      </c>
      <c r="T30" s="1079">
        <v>0</v>
      </c>
      <c r="U30" s="1079">
        <v>0</v>
      </c>
      <c r="V30" s="1079">
        <v>0</v>
      </c>
      <c r="W30" s="1079">
        <v>0</v>
      </c>
      <c r="X30" s="1079">
        <v>0</v>
      </c>
      <c r="Y30" s="1079">
        <v>0</v>
      </c>
      <c r="Z30" s="1079">
        <v>0</v>
      </c>
      <c r="AA30" s="1082">
        <v>0</v>
      </c>
      <c r="AB30" s="1082">
        <v>0</v>
      </c>
      <c r="AC30" s="1082">
        <v>0</v>
      </c>
      <c r="AD30" s="1082">
        <v>0</v>
      </c>
      <c r="AE30" s="1082">
        <v>0</v>
      </c>
      <c r="AF30" s="1082">
        <v>0</v>
      </c>
      <c r="AG30" s="1082">
        <v>0</v>
      </c>
      <c r="AH30" s="1082">
        <v>0</v>
      </c>
      <c r="AI30" s="1082">
        <v>0</v>
      </c>
      <c r="AJ30" s="1082">
        <v>0</v>
      </c>
      <c r="AK30" s="1082">
        <v>0</v>
      </c>
      <c r="AL30" s="1082">
        <v>0</v>
      </c>
      <c r="AM30" s="1082">
        <v>0</v>
      </c>
      <c r="AN30" s="1082">
        <v>0</v>
      </c>
      <c r="AO30" s="1082">
        <v>0</v>
      </c>
      <c r="AP30" s="1082">
        <v>0</v>
      </c>
      <c r="AQ30" s="1082">
        <v>0</v>
      </c>
      <c r="AR30" s="1082">
        <v>0</v>
      </c>
      <c r="AS30" s="1082">
        <v>0</v>
      </c>
      <c r="AT30" s="1082">
        <v>0</v>
      </c>
      <c r="AU30" s="1082">
        <v>0</v>
      </c>
    </row>
    <row r="31" spans="1:47" s="1077" customFormat="1" ht="45" x14ac:dyDescent="0.25">
      <c r="A31" s="99">
        <v>44</v>
      </c>
      <c r="B31" s="99"/>
      <c r="C31" s="1084">
        <v>44</v>
      </c>
      <c r="D31" s="1085" t="s">
        <v>1448</v>
      </c>
      <c r="E31" s="1086">
        <v>0</v>
      </c>
      <c r="F31" s="1067">
        <v>0</v>
      </c>
      <c r="G31" s="1067">
        <v>0</v>
      </c>
      <c r="H31" s="1067">
        <v>0</v>
      </c>
      <c r="I31" s="1067">
        <v>0</v>
      </c>
      <c r="J31" s="1068">
        <v>0</v>
      </c>
      <c r="K31" s="1082">
        <v>0</v>
      </c>
      <c r="L31" s="1079">
        <v>0</v>
      </c>
      <c r="M31" s="1079">
        <v>0</v>
      </c>
      <c r="N31" s="1079">
        <v>0</v>
      </c>
      <c r="O31" s="1079">
        <v>0</v>
      </c>
      <c r="P31" s="1079">
        <v>0</v>
      </c>
      <c r="Q31" s="1079">
        <v>0</v>
      </c>
      <c r="R31" s="1079">
        <v>0</v>
      </c>
      <c r="S31" s="1079">
        <v>0</v>
      </c>
      <c r="T31" s="1079">
        <v>0</v>
      </c>
      <c r="U31" s="1079">
        <v>0</v>
      </c>
      <c r="V31" s="1079">
        <v>0</v>
      </c>
      <c r="W31" s="1079">
        <v>0</v>
      </c>
      <c r="X31" s="1079">
        <v>0</v>
      </c>
      <c r="Y31" s="1079">
        <v>0</v>
      </c>
      <c r="Z31" s="1079">
        <v>0</v>
      </c>
      <c r="AA31" s="1082">
        <v>0</v>
      </c>
      <c r="AB31" s="1082">
        <v>0</v>
      </c>
      <c r="AC31" s="1082">
        <v>0</v>
      </c>
      <c r="AD31" s="1082">
        <v>0</v>
      </c>
      <c r="AE31" s="1082">
        <v>0</v>
      </c>
      <c r="AF31" s="1082">
        <v>0</v>
      </c>
      <c r="AG31" s="1082">
        <v>0</v>
      </c>
      <c r="AH31" s="1082">
        <v>0</v>
      </c>
      <c r="AI31" s="1082">
        <v>0</v>
      </c>
      <c r="AJ31" s="1082">
        <v>0</v>
      </c>
      <c r="AK31" s="1082">
        <v>0</v>
      </c>
      <c r="AL31" s="1082">
        <v>0</v>
      </c>
      <c r="AM31" s="1082">
        <v>0</v>
      </c>
      <c r="AN31" s="1082">
        <v>0</v>
      </c>
      <c r="AO31" s="1082">
        <v>0</v>
      </c>
      <c r="AP31" s="1082">
        <v>0</v>
      </c>
      <c r="AQ31" s="1082">
        <v>0</v>
      </c>
      <c r="AR31" s="1082">
        <v>0</v>
      </c>
      <c r="AS31" s="1082">
        <v>0</v>
      </c>
      <c r="AT31" s="1082">
        <v>0</v>
      </c>
      <c r="AU31" s="1082">
        <v>0</v>
      </c>
    </row>
    <row r="32" spans="1:47" s="1077" customFormat="1" ht="60" x14ac:dyDescent="0.25">
      <c r="A32" s="99">
        <v>45</v>
      </c>
      <c r="B32" s="99"/>
      <c r="C32" s="1084">
        <v>45</v>
      </c>
      <c r="D32" s="1085" t="s">
        <v>1449</v>
      </c>
      <c r="E32" s="1086">
        <v>0</v>
      </c>
      <c r="F32" s="1067">
        <v>0</v>
      </c>
      <c r="G32" s="1067">
        <v>0</v>
      </c>
      <c r="H32" s="1067">
        <v>0</v>
      </c>
      <c r="I32" s="1067">
        <v>0</v>
      </c>
      <c r="J32" s="1068">
        <v>0</v>
      </c>
      <c r="K32" s="1082">
        <v>0</v>
      </c>
      <c r="L32" s="1079">
        <v>0</v>
      </c>
      <c r="M32" s="1079">
        <v>0</v>
      </c>
      <c r="N32" s="1079">
        <v>0</v>
      </c>
      <c r="O32" s="1079">
        <v>0</v>
      </c>
      <c r="P32" s="1079">
        <v>0</v>
      </c>
      <c r="Q32" s="1079">
        <v>0</v>
      </c>
      <c r="R32" s="1079">
        <v>0</v>
      </c>
      <c r="S32" s="1079">
        <v>0</v>
      </c>
      <c r="T32" s="1079">
        <v>0</v>
      </c>
      <c r="U32" s="1079">
        <v>0</v>
      </c>
      <c r="V32" s="1079">
        <v>0</v>
      </c>
      <c r="W32" s="1079">
        <v>0</v>
      </c>
      <c r="X32" s="1079">
        <v>0</v>
      </c>
      <c r="Y32" s="1079">
        <v>0</v>
      </c>
      <c r="Z32" s="1079">
        <v>0</v>
      </c>
      <c r="AA32" s="1082">
        <v>0</v>
      </c>
      <c r="AB32" s="1082">
        <v>0</v>
      </c>
      <c r="AC32" s="1082">
        <v>0</v>
      </c>
      <c r="AD32" s="1082">
        <v>0</v>
      </c>
      <c r="AE32" s="1082">
        <v>0</v>
      </c>
      <c r="AF32" s="1082">
        <v>0</v>
      </c>
      <c r="AG32" s="1082">
        <v>0</v>
      </c>
      <c r="AH32" s="1082">
        <v>0</v>
      </c>
      <c r="AI32" s="1082">
        <v>0</v>
      </c>
      <c r="AJ32" s="1082">
        <v>0</v>
      </c>
      <c r="AK32" s="1082">
        <v>0</v>
      </c>
      <c r="AL32" s="1082">
        <v>0</v>
      </c>
      <c r="AM32" s="1082">
        <v>0</v>
      </c>
      <c r="AN32" s="1082">
        <v>0</v>
      </c>
      <c r="AO32" s="1082">
        <v>0</v>
      </c>
      <c r="AP32" s="1082">
        <v>0</v>
      </c>
      <c r="AQ32" s="1082">
        <v>0</v>
      </c>
      <c r="AR32" s="1082">
        <v>0</v>
      </c>
      <c r="AS32" s="1082">
        <v>0</v>
      </c>
      <c r="AT32" s="1082">
        <v>0</v>
      </c>
      <c r="AU32" s="1082">
        <v>0</v>
      </c>
    </row>
    <row r="33" spans="1:47" s="1077" customFormat="1" ht="30" x14ac:dyDescent="0.25">
      <c r="A33" s="99">
        <v>46</v>
      </c>
      <c r="B33" s="99"/>
      <c r="C33" s="1084">
        <v>46</v>
      </c>
      <c r="D33" s="1085" t="s">
        <v>389</v>
      </c>
      <c r="E33" s="1086">
        <v>0</v>
      </c>
      <c r="F33" s="1067">
        <v>0</v>
      </c>
      <c r="G33" s="1067">
        <v>0</v>
      </c>
      <c r="H33" s="1067">
        <v>0</v>
      </c>
      <c r="I33" s="1067">
        <v>0</v>
      </c>
      <c r="J33" s="1068">
        <v>0</v>
      </c>
      <c r="K33" s="1082">
        <v>0</v>
      </c>
      <c r="L33" s="1079">
        <v>0</v>
      </c>
      <c r="M33" s="1079">
        <v>0</v>
      </c>
      <c r="N33" s="1079">
        <v>0</v>
      </c>
      <c r="O33" s="1079">
        <v>0</v>
      </c>
      <c r="P33" s="1079">
        <v>0</v>
      </c>
      <c r="Q33" s="1079">
        <v>0</v>
      </c>
      <c r="R33" s="1079">
        <v>0</v>
      </c>
      <c r="S33" s="1079">
        <v>0</v>
      </c>
      <c r="T33" s="1079">
        <v>0</v>
      </c>
      <c r="U33" s="1079">
        <v>0</v>
      </c>
      <c r="V33" s="1079">
        <v>0</v>
      </c>
      <c r="W33" s="1079">
        <v>0</v>
      </c>
      <c r="X33" s="1079">
        <v>0</v>
      </c>
      <c r="Y33" s="1079">
        <v>0</v>
      </c>
      <c r="Z33" s="1079">
        <v>0</v>
      </c>
      <c r="AA33" s="1082">
        <v>0</v>
      </c>
      <c r="AB33" s="1082">
        <v>0</v>
      </c>
      <c r="AC33" s="1082">
        <v>0</v>
      </c>
      <c r="AD33" s="1082">
        <v>0</v>
      </c>
      <c r="AE33" s="1082">
        <v>0</v>
      </c>
      <c r="AF33" s="1082">
        <v>0</v>
      </c>
      <c r="AG33" s="1082">
        <v>0</v>
      </c>
      <c r="AH33" s="1082">
        <v>0</v>
      </c>
      <c r="AI33" s="1082">
        <v>0</v>
      </c>
      <c r="AJ33" s="1082">
        <v>0</v>
      </c>
      <c r="AK33" s="1082">
        <v>0</v>
      </c>
      <c r="AL33" s="1082">
        <v>0</v>
      </c>
      <c r="AM33" s="1082">
        <v>0</v>
      </c>
      <c r="AN33" s="1082">
        <v>0</v>
      </c>
      <c r="AO33" s="1082">
        <v>0</v>
      </c>
      <c r="AP33" s="1082">
        <v>0</v>
      </c>
      <c r="AQ33" s="1082">
        <v>0</v>
      </c>
      <c r="AR33" s="1082">
        <v>0</v>
      </c>
      <c r="AS33" s="1082">
        <v>0</v>
      </c>
      <c r="AT33" s="1082">
        <v>0</v>
      </c>
      <c r="AU33" s="1082">
        <v>0</v>
      </c>
    </row>
    <row r="34" spans="1:47" s="1077" customFormat="1" ht="30" x14ac:dyDescent="0.25">
      <c r="A34" s="99">
        <v>47</v>
      </c>
      <c r="B34" s="99"/>
      <c r="C34" s="1084">
        <v>47</v>
      </c>
      <c r="D34" s="1085" t="s">
        <v>1450</v>
      </c>
      <c r="E34" s="1086">
        <v>0</v>
      </c>
      <c r="F34" s="1067">
        <v>0</v>
      </c>
      <c r="G34" s="1067">
        <v>0</v>
      </c>
      <c r="H34" s="1067">
        <v>0</v>
      </c>
      <c r="I34" s="1067">
        <v>0</v>
      </c>
      <c r="J34" s="1068">
        <v>0</v>
      </c>
      <c r="K34" s="1082">
        <v>0</v>
      </c>
      <c r="L34" s="1079">
        <v>0</v>
      </c>
      <c r="M34" s="1079">
        <v>0</v>
      </c>
      <c r="N34" s="1079">
        <v>0</v>
      </c>
      <c r="O34" s="1079">
        <v>0</v>
      </c>
      <c r="P34" s="1079">
        <v>0</v>
      </c>
      <c r="Q34" s="1079">
        <v>0</v>
      </c>
      <c r="R34" s="1079">
        <v>0</v>
      </c>
      <c r="S34" s="1079">
        <v>0</v>
      </c>
      <c r="T34" s="1079">
        <v>0</v>
      </c>
      <c r="U34" s="1079">
        <v>0</v>
      </c>
      <c r="V34" s="1079">
        <v>0</v>
      </c>
      <c r="W34" s="1079">
        <v>0</v>
      </c>
      <c r="X34" s="1079">
        <v>0</v>
      </c>
      <c r="Y34" s="1079">
        <v>0</v>
      </c>
      <c r="Z34" s="1079">
        <v>0</v>
      </c>
      <c r="AA34" s="1082">
        <v>0</v>
      </c>
      <c r="AB34" s="1082">
        <v>0</v>
      </c>
      <c r="AC34" s="1082">
        <v>0</v>
      </c>
      <c r="AD34" s="1082">
        <v>0</v>
      </c>
      <c r="AE34" s="1082">
        <v>0</v>
      </c>
      <c r="AF34" s="1082">
        <v>0</v>
      </c>
      <c r="AG34" s="1082">
        <v>0</v>
      </c>
      <c r="AH34" s="1082">
        <v>0</v>
      </c>
      <c r="AI34" s="1082">
        <v>0</v>
      </c>
      <c r="AJ34" s="1082">
        <v>0</v>
      </c>
      <c r="AK34" s="1082">
        <v>0</v>
      </c>
      <c r="AL34" s="1082">
        <v>0</v>
      </c>
      <c r="AM34" s="1082">
        <v>0</v>
      </c>
      <c r="AN34" s="1082">
        <v>0</v>
      </c>
      <c r="AO34" s="1082">
        <v>0</v>
      </c>
      <c r="AP34" s="1082">
        <v>0</v>
      </c>
      <c r="AQ34" s="1082">
        <v>0</v>
      </c>
      <c r="AR34" s="1082">
        <v>0</v>
      </c>
      <c r="AS34" s="1082">
        <v>0</v>
      </c>
      <c r="AT34" s="1082">
        <v>0</v>
      </c>
      <c r="AU34" s="1082">
        <v>0</v>
      </c>
    </row>
    <row r="35" spans="1:47" s="1077" customFormat="1" ht="60" x14ac:dyDescent="0.25">
      <c r="A35" s="99">
        <v>48</v>
      </c>
      <c r="B35" s="99"/>
      <c r="C35" s="1084">
        <v>48</v>
      </c>
      <c r="D35" s="1085" t="s">
        <v>1451</v>
      </c>
      <c r="E35" s="1086">
        <v>0</v>
      </c>
      <c r="F35" s="1067">
        <v>0</v>
      </c>
      <c r="G35" s="1067">
        <v>0</v>
      </c>
      <c r="H35" s="1067">
        <v>0</v>
      </c>
      <c r="I35" s="1067">
        <v>0</v>
      </c>
      <c r="J35" s="1068">
        <v>0</v>
      </c>
      <c r="K35" s="1082">
        <v>0</v>
      </c>
      <c r="L35" s="1079">
        <v>0</v>
      </c>
      <c r="M35" s="1079">
        <v>0</v>
      </c>
      <c r="N35" s="1079">
        <v>0</v>
      </c>
      <c r="O35" s="1079">
        <v>0</v>
      </c>
      <c r="P35" s="1079">
        <v>0</v>
      </c>
      <c r="Q35" s="1079">
        <v>0</v>
      </c>
      <c r="R35" s="1079">
        <v>0</v>
      </c>
      <c r="S35" s="1079">
        <v>0</v>
      </c>
      <c r="T35" s="1079">
        <v>0</v>
      </c>
      <c r="U35" s="1079">
        <v>0</v>
      </c>
      <c r="V35" s="1079">
        <v>0</v>
      </c>
      <c r="W35" s="1079">
        <v>0</v>
      </c>
      <c r="X35" s="1079">
        <v>0</v>
      </c>
      <c r="Y35" s="1079">
        <v>0</v>
      </c>
      <c r="Z35" s="1079">
        <v>0</v>
      </c>
      <c r="AA35" s="1082">
        <v>0</v>
      </c>
      <c r="AB35" s="1082">
        <v>0</v>
      </c>
      <c r="AC35" s="1082">
        <v>0</v>
      </c>
      <c r="AD35" s="1082">
        <v>0</v>
      </c>
      <c r="AE35" s="1082">
        <v>0</v>
      </c>
      <c r="AF35" s="1082">
        <v>0</v>
      </c>
      <c r="AG35" s="1082">
        <v>0</v>
      </c>
      <c r="AH35" s="1082">
        <v>0</v>
      </c>
      <c r="AI35" s="1082">
        <v>0</v>
      </c>
      <c r="AJ35" s="1082">
        <v>0</v>
      </c>
      <c r="AK35" s="1082">
        <v>0</v>
      </c>
      <c r="AL35" s="1082">
        <v>0</v>
      </c>
      <c r="AM35" s="1082">
        <v>0</v>
      </c>
      <c r="AN35" s="1082">
        <v>0</v>
      </c>
      <c r="AO35" s="1082">
        <v>0</v>
      </c>
      <c r="AP35" s="1082">
        <v>0</v>
      </c>
      <c r="AQ35" s="1082">
        <v>0</v>
      </c>
      <c r="AR35" s="1082">
        <v>0</v>
      </c>
      <c r="AS35" s="1082">
        <v>0</v>
      </c>
      <c r="AT35" s="1082">
        <v>0</v>
      </c>
      <c r="AU35" s="1082">
        <v>0</v>
      </c>
    </row>
    <row r="36" spans="1:47" s="1077" customFormat="1" ht="30" x14ac:dyDescent="0.25">
      <c r="A36" s="99">
        <v>49</v>
      </c>
      <c r="B36" s="99"/>
      <c r="C36" s="1084">
        <v>49</v>
      </c>
      <c r="D36" s="1085" t="s">
        <v>1452</v>
      </c>
      <c r="E36" s="1086">
        <v>0</v>
      </c>
      <c r="F36" s="1067">
        <v>0</v>
      </c>
      <c r="G36" s="1067">
        <v>0</v>
      </c>
      <c r="H36" s="1067">
        <v>0</v>
      </c>
      <c r="I36" s="1067">
        <v>0</v>
      </c>
      <c r="J36" s="1068">
        <v>0</v>
      </c>
      <c r="K36" s="1082">
        <v>0</v>
      </c>
      <c r="L36" s="1079">
        <v>0</v>
      </c>
      <c r="M36" s="1079">
        <v>0</v>
      </c>
      <c r="N36" s="1079">
        <v>0</v>
      </c>
      <c r="O36" s="1079">
        <v>0</v>
      </c>
      <c r="P36" s="1079">
        <v>0</v>
      </c>
      <c r="Q36" s="1079">
        <v>0</v>
      </c>
      <c r="R36" s="1079">
        <v>0</v>
      </c>
      <c r="S36" s="1079">
        <v>0</v>
      </c>
      <c r="T36" s="1079">
        <v>0</v>
      </c>
      <c r="U36" s="1079">
        <v>0</v>
      </c>
      <c r="V36" s="1079">
        <v>0</v>
      </c>
      <c r="W36" s="1079">
        <v>0</v>
      </c>
      <c r="X36" s="1079">
        <v>0</v>
      </c>
      <c r="Y36" s="1079">
        <v>0</v>
      </c>
      <c r="Z36" s="1079">
        <v>0</v>
      </c>
      <c r="AA36" s="1082">
        <v>0</v>
      </c>
      <c r="AB36" s="1082">
        <v>0</v>
      </c>
      <c r="AC36" s="1082">
        <v>0</v>
      </c>
      <c r="AD36" s="1082">
        <v>0</v>
      </c>
      <c r="AE36" s="1082">
        <v>0</v>
      </c>
      <c r="AF36" s="1082">
        <v>0</v>
      </c>
      <c r="AG36" s="1082">
        <v>0</v>
      </c>
      <c r="AH36" s="1082">
        <v>0</v>
      </c>
      <c r="AI36" s="1082">
        <v>0</v>
      </c>
      <c r="AJ36" s="1082">
        <v>0</v>
      </c>
      <c r="AK36" s="1082">
        <v>0</v>
      </c>
      <c r="AL36" s="1082">
        <v>0</v>
      </c>
      <c r="AM36" s="1082">
        <v>0</v>
      </c>
      <c r="AN36" s="1082">
        <v>0</v>
      </c>
      <c r="AO36" s="1082">
        <v>0</v>
      </c>
      <c r="AP36" s="1082">
        <v>0</v>
      </c>
      <c r="AQ36" s="1082">
        <v>0</v>
      </c>
      <c r="AR36" s="1082">
        <v>0</v>
      </c>
      <c r="AS36" s="1082">
        <v>0</v>
      </c>
      <c r="AT36" s="1082">
        <v>0</v>
      </c>
      <c r="AU36" s="1082">
        <v>0</v>
      </c>
    </row>
    <row r="37" spans="1:47" s="1077" customFormat="1" ht="30" x14ac:dyDescent="0.25">
      <c r="A37" s="99">
        <v>50</v>
      </c>
      <c r="B37" s="99"/>
      <c r="C37" s="1084">
        <v>50</v>
      </c>
      <c r="D37" s="1085" t="s">
        <v>1453</v>
      </c>
      <c r="E37" s="1086">
        <v>0</v>
      </c>
      <c r="F37" s="1067">
        <v>0</v>
      </c>
      <c r="G37" s="1067">
        <v>0</v>
      </c>
      <c r="H37" s="1067">
        <v>0</v>
      </c>
      <c r="I37" s="1067">
        <v>0</v>
      </c>
      <c r="J37" s="1068">
        <v>0</v>
      </c>
      <c r="K37" s="1082">
        <v>0</v>
      </c>
      <c r="L37" s="1079">
        <v>0</v>
      </c>
      <c r="M37" s="1079">
        <v>0</v>
      </c>
      <c r="N37" s="1079">
        <v>0</v>
      </c>
      <c r="O37" s="1079">
        <v>0</v>
      </c>
      <c r="P37" s="1079">
        <v>0</v>
      </c>
      <c r="Q37" s="1079">
        <v>0</v>
      </c>
      <c r="R37" s="1079">
        <v>0</v>
      </c>
      <c r="S37" s="1079">
        <v>0</v>
      </c>
      <c r="T37" s="1079">
        <v>0</v>
      </c>
      <c r="U37" s="1079">
        <v>0</v>
      </c>
      <c r="V37" s="1079">
        <v>0</v>
      </c>
      <c r="W37" s="1079">
        <v>0</v>
      </c>
      <c r="X37" s="1079">
        <v>0</v>
      </c>
      <c r="Y37" s="1079">
        <v>0</v>
      </c>
      <c r="Z37" s="1079">
        <v>0</v>
      </c>
      <c r="AA37" s="1082">
        <v>0</v>
      </c>
      <c r="AB37" s="1082">
        <v>0</v>
      </c>
      <c r="AC37" s="1082">
        <v>0</v>
      </c>
      <c r="AD37" s="1082">
        <v>0</v>
      </c>
      <c r="AE37" s="1082">
        <v>0</v>
      </c>
      <c r="AF37" s="1082">
        <v>0</v>
      </c>
      <c r="AG37" s="1082">
        <v>0</v>
      </c>
      <c r="AH37" s="1082">
        <v>0</v>
      </c>
      <c r="AI37" s="1082">
        <v>0</v>
      </c>
      <c r="AJ37" s="1082">
        <v>0</v>
      </c>
      <c r="AK37" s="1082">
        <v>0</v>
      </c>
      <c r="AL37" s="1082">
        <v>0</v>
      </c>
      <c r="AM37" s="1082">
        <v>0</v>
      </c>
      <c r="AN37" s="1082">
        <v>0</v>
      </c>
      <c r="AO37" s="1082">
        <v>0</v>
      </c>
      <c r="AP37" s="1082">
        <v>0</v>
      </c>
      <c r="AQ37" s="1082">
        <v>0</v>
      </c>
      <c r="AR37" s="1082">
        <v>0</v>
      </c>
      <c r="AS37" s="1082">
        <v>0</v>
      </c>
      <c r="AT37" s="1082">
        <v>0</v>
      </c>
      <c r="AU37" s="1082">
        <v>0</v>
      </c>
    </row>
    <row r="38" spans="1:47" s="1077" customFormat="1" ht="30" x14ac:dyDescent="0.25">
      <c r="A38" s="99">
        <v>51</v>
      </c>
      <c r="B38" s="99"/>
      <c r="C38" s="1084">
        <v>51</v>
      </c>
      <c r="D38" s="1085" t="s">
        <v>1454</v>
      </c>
      <c r="E38" s="1086">
        <v>0</v>
      </c>
      <c r="F38" s="1067">
        <v>0</v>
      </c>
      <c r="G38" s="1067">
        <v>0</v>
      </c>
      <c r="H38" s="1067">
        <v>0</v>
      </c>
      <c r="I38" s="1067">
        <v>0</v>
      </c>
      <c r="J38" s="1068">
        <v>0</v>
      </c>
      <c r="K38" s="1082">
        <v>0</v>
      </c>
      <c r="L38" s="1079">
        <v>0</v>
      </c>
      <c r="M38" s="1079">
        <v>0</v>
      </c>
      <c r="N38" s="1079">
        <v>0</v>
      </c>
      <c r="O38" s="1079">
        <v>0</v>
      </c>
      <c r="P38" s="1079">
        <v>0</v>
      </c>
      <c r="Q38" s="1079">
        <v>0</v>
      </c>
      <c r="R38" s="1079">
        <v>0</v>
      </c>
      <c r="S38" s="1079">
        <v>0</v>
      </c>
      <c r="T38" s="1079">
        <v>0</v>
      </c>
      <c r="U38" s="1079">
        <v>0</v>
      </c>
      <c r="V38" s="1079">
        <v>0</v>
      </c>
      <c r="W38" s="1079">
        <v>0</v>
      </c>
      <c r="X38" s="1079">
        <v>0</v>
      </c>
      <c r="Y38" s="1079">
        <v>0</v>
      </c>
      <c r="Z38" s="1079">
        <v>0</v>
      </c>
      <c r="AA38" s="1082">
        <v>0</v>
      </c>
      <c r="AB38" s="1082">
        <v>0</v>
      </c>
      <c r="AC38" s="1082">
        <v>0</v>
      </c>
      <c r="AD38" s="1082">
        <v>0</v>
      </c>
      <c r="AE38" s="1082">
        <v>0</v>
      </c>
      <c r="AF38" s="1082">
        <v>0</v>
      </c>
      <c r="AG38" s="1082">
        <v>0</v>
      </c>
      <c r="AH38" s="1082">
        <v>0</v>
      </c>
      <c r="AI38" s="1082">
        <v>0</v>
      </c>
      <c r="AJ38" s="1082">
        <v>0</v>
      </c>
      <c r="AK38" s="1082">
        <v>0</v>
      </c>
      <c r="AL38" s="1082">
        <v>0</v>
      </c>
      <c r="AM38" s="1082">
        <v>0</v>
      </c>
      <c r="AN38" s="1082">
        <v>0</v>
      </c>
      <c r="AO38" s="1082">
        <v>0</v>
      </c>
      <c r="AP38" s="1082">
        <v>0</v>
      </c>
      <c r="AQ38" s="1082">
        <v>0</v>
      </c>
      <c r="AR38" s="1082">
        <v>0</v>
      </c>
      <c r="AS38" s="1082">
        <v>0</v>
      </c>
      <c r="AT38" s="1082">
        <v>0</v>
      </c>
      <c r="AU38" s="1082">
        <v>0</v>
      </c>
    </row>
    <row r="39" spans="1:47" s="1077" customFormat="1" ht="30" x14ac:dyDescent="0.25">
      <c r="A39" s="99">
        <v>52</v>
      </c>
      <c r="B39" s="99"/>
      <c r="C39" s="1084">
        <v>52</v>
      </c>
      <c r="D39" s="1085" t="s">
        <v>1455</v>
      </c>
      <c r="E39" s="1086">
        <v>0</v>
      </c>
      <c r="F39" s="1067">
        <v>0</v>
      </c>
      <c r="G39" s="1067">
        <v>0</v>
      </c>
      <c r="H39" s="1067">
        <v>0</v>
      </c>
      <c r="I39" s="1067">
        <v>0</v>
      </c>
      <c r="J39" s="1068">
        <v>0</v>
      </c>
      <c r="K39" s="1082">
        <v>0</v>
      </c>
      <c r="L39" s="1079">
        <v>0</v>
      </c>
      <c r="M39" s="1079">
        <v>0</v>
      </c>
      <c r="N39" s="1079">
        <v>0</v>
      </c>
      <c r="O39" s="1079">
        <v>0</v>
      </c>
      <c r="P39" s="1079">
        <v>0</v>
      </c>
      <c r="Q39" s="1079">
        <v>0</v>
      </c>
      <c r="R39" s="1079">
        <v>0</v>
      </c>
      <c r="S39" s="1079">
        <v>0</v>
      </c>
      <c r="T39" s="1079">
        <v>0</v>
      </c>
      <c r="U39" s="1079">
        <v>0</v>
      </c>
      <c r="V39" s="1079">
        <v>0</v>
      </c>
      <c r="W39" s="1079">
        <v>0</v>
      </c>
      <c r="X39" s="1079">
        <v>0</v>
      </c>
      <c r="Y39" s="1079">
        <v>0</v>
      </c>
      <c r="Z39" s="1079">
        <v>0</v>
      </c>
      <c r="AA39" s="1082">
        <v>0</v>
      </c>
      <c r="AB39" s="1082">
        <v>0</v>
      </c>
      <c r="AC39" s="1082">
        <v>0</v>
      </c>
      <c r="AD39" s="1082">
        <v>0</v>
      </c>
      <c r="AE39" s="1082">
        <v>0</v>
      </c>
      <c r="AF39" s="1082">
        <v>0</v>
      </c>
      <c r="AG39" s="1082">
        <v>0</v>
      </c>
      <c r="AH39" s="1082">
        <v>0</v>
      </c>
      <c r="AI39" s="1082">
        <v>0</v>
      </c>
      <c r="AJ39" s="1082">
        <v>0</v>
      </c>
      <c r="AK39" s="1082">
        <v>0</v>
      </c>
      <c r="AL39" s="1082">
        <v>0</v>
      </c>
      <c r="AM39" s="1082">
        <v>0</v>
      </c>
      <c r="AN39" s="1082">
        <v>0</v>
      </c>
      <c r="AO39" s="1082">
        <v>0</v>
      </c>
      <c r="AP39" s="1082">
        <v>0</v>
      </c>
      <c r="AQ39" s="1082">
        <v>0</v>
      </c>
      <c r="AR39" s="1082">
        <v>0</v>
      </c>
      <c r="AS39" s="1082">
        <v>0</v>
      </c>
      <c r="AT39" s="1082">
        <v>0</v>
      </c>
      <c r="AU39" s="1082">
        <v>0</v>
      </c>
    </row>
    <row r="40" spans="1:47" s="1077" customFormat="1" ht="30" x14ac:dyDescent="0.25">
      <c r="A40" s="99">
        <v>53</v>
      </c>
      <c r="B40" s="99"/>
      <c r="C40" s="1084">
        <v>53</v>
      </c>
      <c r="D40" s="1085" t="s">
        <v>1456</v>
      </c>
      <c r="E40" s="1086">
        <v>0</v>
      </c>
      <c r="F40" s="1067">
        <v>0</v>
      </c>
      <c r="G40" s="1067">
        <v>0</v>
      </c>
      <c r="H40" s="1067">
        <v>0</v>
      </c>
      <c r="I40" s="1067">
        <v>0</v>
      </c>
      <c r="J40" s="1068">
        <v>0</v>
      </c>
      <c r="K40" s="1082">
        <v>0</v>
      </c>
      <c r="L40" s="1079">
        <v>0</v>
      </c>
      <c r="M40" s="1079">
        <v>0</v>
      </c>
      <c r="N40" s="1079">
        <v>0</v>
      </c>
      <c r="O40" s="1079">
        <v>0</v>
      </c>
      <c r="P40" s="1079">
        <v>0</v>
      </c>
      <c r="Q40" s="1079">
        <v>0</v>
      </c>
      <c r="R40" s="1079">
        <v>0</v>
      </c>
      <c r="S40" s="1079">
        <v>0</v>
      </c>
      <c r="T40" s="1079">
        <v>0</v>
      </c>
      <c r="U40" s="1079">
        <v>0</v>
      </c>
      <c r="V40" s="1079">
        <v>0</v>
      </c>
      <c r="W40" s="1079">
        <v>0</v>
      </c>
      <c r="X40" s="1079">
        <v>0</v>
      </c>
      <c r="Y40" s="1079">
        <v>0</v>
      </c>
      <c r="Z40" s="1079">
        <v>0</v>
      </c>
      <c r="AA40" s="1082">
        <v>0</v>
      </c>
      <c r="AB40" s="1082">
        <v>0</v>
      </c>
      <c r="AC40" s="1082">
        <v>0</v>
      </c>
      <c r="AD40" s="1082">
        <v>0</v>
      </c>
      <c r="AE40" s="1082">
        <v>0</v>
      </c>
      <c r="AF40" s="1082">
        <v>0</v>
      </c>
      <c r="AG40" s="1082">
        <v>0</v>
      </c>
      <c r="AH40" s="1082">
        <v>0</v>
      </c>
      <c r="AI40" s="1082">
        <v>0</v>
      </c>
      <c r="AJ40" s="1082">
        <v>0</v>
      </c>
      <c r="AK40" s="1082">
        <v>0</v>
      </c>
      <c r="AL40" s="1082">
        <v>0</v>
      </c>
      <c r="AM40" s="1082">
        <v>0</v>
      </c>
      <c r="AN40" s="1082">
        <v>0</v>
      </c>
      <c r="AO40" s="1082">
        <v>0</v>
      </c>
      <c r="AP40" s="1082">
        <v>0</v>
      </c>
      <c r="AQ40" s="1082">
        <v>0</v>
      </c>
      <c r="AR40" s="1082">
        <v>0</v>
      </c>
      <c r="AS40" s="1082">
        <v>0</v>
      </c>
      <c r="AT40" s="1082">
        <v>0</v>
      </c>
      <c r="AU40" s="1082">
        <v>0</v>
      </c>
    </row>
    <row r="41" spans="1:47" s="1077" customFormat="1" ht="30" x14ac:dyDescent="0.25">
      <c r="A41" s="99">
        <v>54</v>
      </c>
      <c r="B41" s="99"/>
      <c r="C41" s="1084">
        <v>54</v>
      </c>
      <c r="D41" s="1085" t="s">
        <v>390</v>
      </c>
      <c r="E41" s="1086">
        <v>0</v>
      </c>
      <c r="F41" s="1067">
        <v>0</v>
      </c>
      <c r="G41" s="1067">
        <v>0</v>
      </c>
      <c r="H41" s="1067">
        <v>0</v>
      </c>
      <c r="I41" s="1067">
        <v>0</v>
      </c>
      <c r="J41" s="1068">
        <v>0</v>
      </c>
      <c r="K41" s="1082">
        <v>0</v>
      </c>
      <c r="L41" s="1079">
        <v>0</v>
      </c>
      <c r="M41" s="1079">
        <v>0</v>
      </c>
      <c r="N41" s="1079">
        <v>0</v>
      </c>
      <c r="O41" s="1079">
        <v>0</v>
      </c>
      <c r="P41" s="1079">
        <v>0</v>
      </c>
      <c r="Q41" s="1079">
        <v>0</v>
      </c>
      <c r="R41" s="1079">
        <v>0</v>
      </c>
      <c r="S41" s="1079">
        <v>0</v>
      </c>
      <c r="T41" s="1079">
        <v>0</v>
      </c>
      <c r="U41" s="1079">
        <v>0</v>
      </c>
      <c r="V41" s="1079">
        <v>0</v>
      </c>
      <c r="W41" s="1079">
        <v>0</v>
      </c>
      <c r="X41" s="1079">
        <v>0</v>
      </c>
      <c r="Y41" s="1079">
        <v>0</v>
      </c>
      <c r="Z41" s="1079">
        <v>0</v>
      </c>
      <c r="AA41" s="1082">
        <v>0</v>
      </c>
      <c r="AB41" s="1082">
        <v>0</v>
      </c>
      <c r="AC41" s="1082">
        <v>0</v>
      </c>
      <c r="AD41" s="1082">
        <v>0</v>
      </c>
      <c r="AE41" s="1082">
        <v>0</v>
      </c>
      <c r="AF41" s="1082">
        <v>0</v>
      </c>
      <c r="AG41" s="1082">
        <v>0</v>
      </c>
      <c r="AH41" s="1082">
        <v>0</v>
      </c>
      <c r="AI41" s="1082">
        <v>0</v>
      </c>
      <c r="AJ41" s="1082">
        <v>0</v>
      </c>
      <c r="AK41" s="1082">
        <v>0</v>
      </c>
      <c r="AL41" s="1082">
        <v>0</v>
      </c>
      <c r="AM41" s="1082">
        <v>0</v>
      </c>
      <c r="AN41" s="1082">
        <v>0</v>
      </c>
      <c r="AO41" s="1082">
        <v>0</v>
      </c>
      <c r="AP41" s="1082">
        <v>0</v>
      </c>
      <c r="AQ41" s="1082">
        <v>0</v>
      </c>
      <c r="AR41" s="1082">
        <v>0</v>
      </c>
      <c r="AS41" s="1082">
        <v>0</v>
      </c>
      <c r="AT41" s="1082">
        <v>0</v>
      </c>
      <c r="AU41" s="1082">
        <v>0</v>
      </c>
    </row>
    <row r="42" spans="1:47" s="1077" customFormat="1" ht="30" x14ac:dyDescent="0.25">
      <c r="A42" s="99">
        <v>55</v>
      </c>
      <c r="B42" s="99"/>
      <c r="C42" s="1084">
        <v>55</v>
      </c>
      <c r="D42" s="1085" t="s">
        <v>1457</v>
      </c>
      <c r="E42" s="1086">
        <v>0</v>
      </c>
      <c r="F42" s="1067">
        <v>0</v>
      </c>
      <c r="G42" s="1067">
        <v>0</v>
      </c>
      <c r="H42" s="1067">
        <v>0</v>
      </c>
      <c r="I42" s="1067">
        <v>0</v>
      </c>
      <c r="J42" s="1068">
        <v>0</v>
      </c>
      <c r="K42" s="1082">
        <v>0</v>
      </c>
      <c r="L42" s="1079">
        <v>0</v>
      </c>
      <c r="M42" s="1079">
        <v>0</v>
      </c>
      <c r="N42" s="1079">
        <v>0</v>
      </c>
      <c r="O42" s="1079">
        <v>0</v>
      </c>
      <c r="P42" s="1079">
        <v>0</v>
      </c>
      <c r="Q42" s="1079">
        <v>0</v>
      </c>
      <c r="R42" s="1079">
        <v>0</v>
      </c>
      <c r="S42" s="1079">
        <v>0</v>
      </c>
      <c r="T42" s="1079">
        <v>0</v>
      </c>
      <c r="U42" s="1079">
        <v>0</v>
      </c>
      <c r="V42" s="1079">
        <v>0</v>
      </c>
      <c r="W42" s="1079">
        <v>0</v>
      </c>
      <c r="X42" s="1079">
        <v>0</v>
      </c>
      <c r="Y42" s="1079">
        <v>0</v>
      </c>
      <c r="Z42" s="1079">
        <v>0</v>
      </c>
      <c r="AA42" s="1082">
        <v>0</v>
      </c>
      <c r="AB42" s="1082">
        <v>0</v>
      </c>
      <c r="AC42" s="1082">
        <v>0</v>
      </c>
      <c r="AD42" s="1082">
        <v>0</v>
      </c>
      <c r="AE42" s="1082">
        <v>0</v>
      </c>
      <c r="AF42" s="1082">
        <v>0</v>
      </c>
      <c r="AG42" s="1082">
        <v>0</v>
      </c>
      <c r="AH42" s="1082">
        <v>0</v>
      </c>
      <c r="AI42" s="1082">
        <v>0</v>
      </c>
      <c r="AJ42" s="1082">
        <v>0</v>
      </c>
      <c r="AK42" s="1082">
        <v>0</v>
      </c>
      <c r="AL42" s="1082">
        <v>0</v>
      </c>
      <c r="AM42" s="1082">
        <v>0</v>
      </c>
      <c r="AN42" s="1082">
        <v>0</v>
      </c>
      <c r="AO42" s="1082">
        <v>0</v>
      </c>
      <c r="AP42" s="1082">
        <v>0</v>
      </c>
      <c r="AQ42" s="1082">
        <v>0</v>
      </c>
      <c r="AR42" s="1082">
        <v>0</v>
      </c>
      <c r="AS42" s="1082">
        <v>0</v>
      </c>
      <c r="AT42" s="1082">
        <v>0</v>
      </c>
      <c r="AU42" s="1082">
        <v>0</v>
      </c>
    </row>
    <row r="43" spans="1:47" s="409" customFormat="1" x14ac:dyDescent="0.25">
      <c r="A43" s="99">
        <v>61</v>
      </c>
      <c r="B43" s="99"/>
      <c r="C43" s="1084">
        <v>61</v>
      </c>
      <c r="D43" s="1085" t="s">
        <v>1458</v>
      </c>
      <c r="E43" s="1091">
        <v>0</v>
      </c>
      <c r="F43" s="1069" t="s">
        <v>1560</v>
      </c>
      <c r="G43" s="1069" t="s">
        <v>1560</v>
      </c>
      <c r="H43" s="1069" t="s">
        <v>1560</v>
      </c>
      <c r="I43" s="1069" t="s">
        <v>1560</v>
      </c>
      <c r="J43" s="1070" t="s">
        <v>1560</v>
      </c>
      <c r="K43" s="1092">
        <v>0</v>
      </c>
      <c r="L43" s="1093">
        <v>0</v>
      </c>
      <c r="M43" s="1093">
        <v>0</v>
      </c>
      <c r="N43" s="1093">
        <v>0</v>
      </c>
      <c r="O43" s="1093">
        <v>0</v>
      </c>
      <c r="P43" s="1093">
        <v>0</v>
      </c>
      <c r="Q43" s="1093">
        <v>0</v>
      </c>
      <c r="R43" s="1093">
        <v>0</v>
      </c>
      <c r="S43" s="1093">
        <v>0</v>
      </c>
      <c r="T43" s="1093">
        <v>0</v>
      </c>
      <c r="U43" s="1093">
        <v>0</v>
      </c>
      <c r="V43" s="1093">
        <v>0</v>
      </c>
      <c r="W43" s="1093">
        <v>0</v>
      </c>
      <c r="X43" s="1093">
        <v>0</v>
      </c>
      <c r="Y43" s="1093">
        <v>0</v>
      </c>
      <c r="Z43" s="1093">
        <v>0</v>
      </c>
      <c r="AA43" s="1092">
        <v>0</v>
      </c>
      <c r="AB43" s="1092">
        <v>0</v>
      </c>
      <c r="AC43" s="1092">
        <v>0</v>
      </c>
      <c r="AD43" s="1092">
        <v>0</v>
      </c>
      <c r="AE43" s="1092">
        <v>0</v>
      </c>
      <c r="AF43" s="1092">
        <v>0</v>
      </c>
      <c r="AG43" s="1092">
        <v>0</v>
      </c>
      <c r="AH43" s="1092">
        <v>0</v>
      </c>
      <c r="AI43" s="1092">
        <v>0</v>
      </c>
      <c r="AJ43" s="1092">
        <v>0</v>
      </c>
      <c r="AK43" s="1092">
        <v>0</v>
      </c>
      <c r="AL43" s="1092">
        <v>0</v>
      </c>
      <c r="AM43" s="1092">
        <v>0</v>
      </c>
      <c r="AN43" s="1092">
        <v>0</v>
      </c>
      <c r="AO43" s="1092">
        <v>0</v>
      </c>
      <c r="AP43" s="1092">
        <v>0</v>
      </c>
      <c r="AQ43" s="1092">
        <v>0</v>
      </c>
      <c r="AR43" s="1092">
        <v>0</v>
      </c>
      <c r="AS43" s="1092">
        <v>0</v>
      </c>
      <c r="AT43" s="1092">
        <v>0</v>
      </c>
      <c r="AU43" s="1092">
        <v>0</v>
      </c>
    </row>
    <row r="44" spans="1:47" s="1077" customFormat="1" ht="30" x14ac:dyDescent="0.25">
      <c r="A44" s="99">
        <v>80</v>
      </c>
      <c r="B44" s="99"/>
      <c r="C44" s="1084">
        <v>80</v>
      </c>
      <c r="D44" s="1085" t="s">
        <v>1459</v>
      </c>
      <c r="E44" s="1091">
        <v>0</v>
      </c>
      <c r="F44" s="1069" t="s">
        <v>1560</v>
      </c>
      <c r="G44" s="1069" t="s">
        <v>1560</v>
      </c>
      <c r="H44" s="1069" t="s">
        <v>1560</v>
      </c>
      <c r="I44" s="1069" t="s">
        <v>1560</v>
      </c>
      <c r="J44" s="1070" t="s">
        <v>1560</v>
      </c>
      <c r="K44" s="1082">
        <v>0</v>
      </c>
      <c r="L44" s="1079">
        <v>0</v>
      </c>
      <c r="M44" s="1094">
        <v>0</v>
      </c>
      <c r="N44" s="1094">
        <v>0</v>
      </c>
      <c r="O44" s="1094">
        <v>0</v>
      </c>
      <c r="P44" s="1094">
        <v>0</v>
      </c>
      <c r="Q44" s="1094">
        <v>0</v>
      </c>
      <c r="R44" s="1094">
        <v>0</v>
      </c>
      <c r="S44" s="1094">
        <v>0</v>
      </c>
      <c r="T44" s="1094">
        <v>0</v>
      </c>
      <c r="U44" s="1094">
        <v>0</v>
      </c>
      <c r="V44" s="1094">
        <v>0</v>
      </c>
      <c r="W44" s="1094">
        <v>0</v>
      </c>
      <c r="X44" s="1094">
        <v>0</v>
      </c>
      <c r="Y44" s="1094">
        <v>0</v>
      </c>
      <c r="Z44" s="1094">
        <v>0</v>
      </c>
      <c r="AA44" s="1095">
        <v>0</v>
      </c>
      <c r="AB44" s="1095">
        <v>0</v>
      </c>
      <c r="AC44" s="1095">
        <v>0</v>
      </c>
      <c r="AD44" s="1095">
        <v>0</v>
      </c>
      <c r="AE44" s="1095">
        <v>0</v>
      </c>
      <c r="AF44" s="1095">
        <v>0</v>
      </c>
      <c r="AG44" s="1095">
        <v>0</v>
      </c>
      <c r="AH44" s="1095">
        <v>0</v>
      </c>
      <c r="AI44" s="1095">
        <v>0</v>
      </c>
      <c r="AJ44" s="1095">
        <v>0</v>
      </c>
      <c r="AK44" s="1095">
        <v>0</v>
      </c>
      <c r="AL44" s="1095">
        <v>0</v>
      </c>
      <c r="AM44" s="1095">
        <v>0</v>
      </c>
      <c r="AN44" s="1095">
        <v>0</v>
      </c>
      <c r="AO44" s="1095">
        <v>0</v>
      </c>
      <c r="AP44" s="1095">
        <v>0</v>
      </c>
      <c r="AQ44" s="1095">
        <v>0</v>
      </c>
      <c r="AR44" s="1095">
        <v>0</v>
      </c>
      <c r="AS44" s="1095">
        <v>0</v>
      </c>
      <c r="AT44" s="1095">
        <v>0</v>
      </c>
      <c r="AU44" s="1095">
        <v>0</v>
      </c>
    </row>
    <row r="45" spans="1:47" s="1077" customFormat="1" ht="30" x14ac:dyDescent="0.25">
      <c r="A45" s="99">
        <v>81</v>
      </c>
      <c r="B45" s="99"/>
      <c r="C45" s="1084">
        <v>81</v>
      </c>
      <c r="D45" s="1085" t="s">
        <v>1460</v>
      </c>
      <c r="E45" s="1091">
        <v>0</v>
      </c>
      <c r="F45" s="1069" t="s">
        <v>1560</v>
      </c>
      <c r="G45" s="1069" t="s">
        <v>1560</v>
      </c>
      <c r="H45" s="1069" t="s">
        <v>1560</v>
      </c>
      <c r="I45" s="1069" t="s">
        <v>1560</v>
      </c>
      <c r="J45" s="1070" t="s">
        <v>1560</v>
      </c>
      <c r="K45" s="1082">
        <v>0</v>
      </c>
      <c r="L45" s="1079">
        <v>0</v>
      </c>
      <c r="M45" s="1094">
        <v>0</v>
      </c>
      <c r="N45" s="1094">
        <v>0</v>
      </c>
      <c r="O45" s="1094">
        <v>0</v>
      </c>
      <c r="P45" s="1094">
        <v>0</v>
      </c>
      <c r="Q45" s="1094">
        <v>0</v>
      </c>
      <c r="R45" s="1094">
        <v>0</v>
      </c>
      <c r="S45" s="1094">
        <v>0</v>
      </c>
      <c r="T45" s="1094">
        <v>0</v>
      </c>
      <c r="U45" s="1094">
        <v>0</v>
      </c>
      <c r="V45" s="1094">
        <v>0</v>
      </c>
      <c r="W45" s="1094">
        <v>0</v>
      </c>
      <c r="X45" s="1094">
        <v>0</v>
      </c>
      <c r="Y45" s="1094">
        <v>0</v>
      </c>
      <c r="Z45" s="1094">
        <v>0</v>
      </c>
      <c r="AA45" s="1095">
        <v>0</v>
      </c>
      <c r="AB45" s="1095">
        <v>0</v>
      </c>
      <c r="AC45" s="1095">
        <v>0</v>
      </c>
      <c r="AD45" s="1095">
        <v>0</v>
      </c>
      <c r="AE45" s="1095">
        <v>0</v>
      </c>
      <c r="AF45" s="1095">
        <v>0</v>
      </c>
      <c r="AG45" s="1095">
        <v>0</v>
      </c>
      <c r="AH45" s="1095">
        <v>0</v>
      </c>
      <c r="AI45" s="1095">
        <v>0</v>
      </c>
      <c r="AJ45" s="1095">
        <v>0</v>
      </c>
      <c r="AK45" s="1095">
        <v>0</v>
      </c>
      <c r="AL45" s="1095">
        <v>0</v>
      </c>
      <c r="AM45" s="1095">
        <v>0</v>
      </c>
      <c r="AN45" s="1095">
        <v>0</v>
      </c>
      <c r="AO45" s="1095">
        <v>0</v>
      </c>
      <c r="AP45" s="1095">
        <v>0</v>
      </c>
      <c r="AQ45" s="1095">
        <v>0</v>
      </c>
      <c r="AR45" s="1095">
        <v>0</v>
      </c>
      <c r="AS45" s="1095">
        <v>0</v>
      </c>
      <c r="AT45" s="1095">
        <v>0</v>
      </c>
      <c r="AU45" s="1095">
        <v>0</v>
      </c>
    </row>
    <row r="46" spans="1:47" s="1077" customFormat="1" ht="45" x14ac:dyDescent="0.25">
      <c r="A46" s="99">
        <v>82</v>
      </c>
      <c r="B46" s="99"/>
      <c r="C46" s="1084">
        <v>82</v>
      </c>
      <c r="D46" s="1085" t="s">
        <v>1461</v>
      </c>
      <c r="E46" s="1091">
        <v>0</v>
      </c>
      <c r="F46" s="1069" t="s">
        <v>1560</v>
      </c>
      <c r="G46" s="1069" t="s">
        <v>1560</v>
      </c>
      <c r="H46" s="1069" t="s">
        <v>1560</v>
      </c>
      <c r="I46" s="1069" t="s">
        <v>1560</v>
      </c>
      <c r="J46" s="1070" t="s">
        <v>1560</v>
      </c>
      <c r="K46" s="1082">
        <v>0</v>
      </c>
      <c r="L46" s="1079">
        <v>0</v>
      </c>
      <c r="M46" s="1094">
        <v>0</v>
      </c>
      <c r="N46" s="1094">
        <v>0</v>
      </c>
      <c r="O46" s="1094">
        <v>0</v>
      </c>
      <c r="P46" s="1094">
        <v>0</v>
      </c>
      <c r="Q46" s="1094">
        <v>0</v>
      </c>
      <c r="R46" s="1094">
        <v>0</v>
      </c>
      <c r="S46" s="1094">
        <v>0</v>
      </c>
      <c r="T46" s="1094">
        <v>0</v>
      </c>
      <c r="U46" s="1094">
        <v>0</v>
      </c>
      <c r="V46" s="1094">
        <v>0</v>
      </c>
      <c r="W46" s="1094">
        <v>0</v>
      </c>
      <c r="X46" s="1094">
        <v>0</v>
      </c>
      <c r="Y46" s="1094">
        <v>0</v>
      </c>
      <c r="Z46" s="1094">
        <v>0</v>
      </c>
      <c r="AA46" s="1095">
        <v>0</v>
      </c>
      <c r="AB46" s="1095">
        <v>0</v>
      </c>
      <c r="AC46" s="1095">
        <v>0</v>
      </c>
      <c r="AD46" s="1095">
        <v>0</v>
      </c>
      <c r="AE46" s="1095">
        <v>0</v>
      </c>
      <c r="AF46" s="1095">
        <v>0</v>
      </c>
      <c r="AG46" s="1095">
        <v>0</v>
      </c>
      <c r="AH46" s="1095">
        <v>0</v>
      </c>
      <c r="AI46" s="1095">
        <v>0</v>
      </c>
      <c r="AJ46" s="1095">
        <v>0</v>
      </c>
      <c r="AK46" s="1095">
        <v>0</v>
      </c>
      <c r="AL46" s="1095">
        <v>0</v>
      </c>
      <c r="AM46" s="1095">
        <v>0</v>
      </c>
      <c r="AN46" s="1095">
        <v>0</v>
      </c>
      <c r="AO46" s="1095">
        <v>0</v>
      </c>
      <c r="AP46" s="1095">
        <v>0</v>
      </c>
      <c r="AQ46" s="1095">
        <v>0</v>
      </c>
      <c r="AR46" s="1095">
        <v>0</v>
      </c>
      <c r="AS46" s="1095">
        <v>0</v>
      </c>
      <c r="AT46" s="1095">
        <v>0</v>
      </c>
      <c r="AU46" s="1095">
        <v>0</v>
      </c>
    </row>
    <row r="47" spans="1:47" s="1077" customFormat="1" x14ac:dyDescent="0.25">
      <c r="A47" s="99">
        <v>83</v>
      </c>
      <c r="B47" s="99"/>
      <c r="C47" s="1084">
        <v>83</v>
      </c>
      <c r="D47" s="1085" t="s">
        <v>1462</v>
      </c>
      <c r="E47" s="1091">
        <v>0</v>
      </c>
      <c r="F47" s="1069" t="s">
        <v>1560</v>
      </c>
      <c r="G47" s="1069" t="s">
        <v>1560</v>
      </c>
      <c r="H47" s="1069" t="s">
        <v>1560</v>
      </c>
      <c r="I47" s="1069" t="s">
        <v>1560</v>
      </c>
      <c r="J47" s="1070" t="s">
        <v>1560</v>
      </c>
      <c r="K47" s="1082">
        <v>0</v>
      </c>
      <c r="L47" s="1079">
        <v>0</v>
      </c>
      <c r="M47" s="1094">
        <v>0</v>
      </c>
      <c r="N47" s="1094">
        <v>0</v>
      </c>
      <c r="O47" s="1094">
        <v>0</v>
      </c>
      <c r="P47" s="1094">
        <v>0</v>
      </c>
      <c r="Q47" s="1094">
        <v>0</v>
      </c>
      <c r="R47" s="1094">
        <v>0</v>
      </c>
      <c r="S47" s="1094">
        <v>0</v>
      </c>
      <c r="T47" s="1094">
        <v>0</v>
      </c>
      <c r="U47" s="1094">
        <v>0</v>
      </c>
      <c r="V47" s="1094">
        <v>0</v>
      </c>
      <c r="W47" s="1094">
        <v>0</v>
      </c>
      <c r="X47" s="1094">
        <v>0</v>
      </c>
      <c r="Y47" s="1094">
        <v>0</v>
      </c>
      <c r="Z47" s="1094">
        <v>0</v>
      </c>
      <c r="AA47" s="1095">
        <v>0</v>
      </c>
      <c r="AB47" s="1095">
        <v>0</v>
      </c>
      <c r="AC47" s="1095">
        <v>0</v>
      </c>
      <c r="AD47" s="1095">
        <v>0</v>
      </c>
      <c r="AE47" s="1095">
        <v>0</v>
      </c>
      <c r="AF47" s="1095">
        <v>0</v>
      </c>
      <c r="AG47" s="1095">
        <v>0</v>
      </c>
      <c r="AH47" s="1095">
        <v>0</v>
      </c>
      <c r="AI47" s="1095">
        <v>0</v>
      </c>
      <c r="AJ47" s="1095">
        <v>0</v>
      </c>
      <c r="AK47" s="1095">
        <v>0</v>
      </c>
      <c r="AL47" s="1095">
        <v>0</v>
      </c>
      <c r="AM47" s="1095">
        <v>0</v>
      </c>
      <c r="AN47" s="1095">
        <v>0</v>
      </c>
      <c r="AO47" s="1095">
        <v>0</v>
      </c>
      <c r="AP47" s="1095">
        <v>0</v>
      </c>
      <c r="AQ47" s="1095">
        <v>0</v>
      </c>
      <c r="AR47" s="1095">
        <v>0</v>
      </c>
      <c r="AS47" s="1095">
        <v>0</v>
      </c>
      <c r="AT47" s="1095">
        <v>0</v>
      </c>
      <c r="AU47" s="1095">
        <v>0</v>
      </c>
    </row>
    <row r="48" spans="1:47" s="1077" customFormat="1" x14ac:dyDescent="0.25">
      <c r="A48" s="99">
        <v>84</v>
      </c>
      <c r="B48" s="99"/>
      <c r="C48" s="1084">
        <v>84</v>
      </c>
      <c r="D48" s="1085" t="s">
        <v>1463</v>
      </c>
      <c r="E48" s="1091">
        <v>0</v>
      </c>
      <c r="F48" s="1069" t="s">
        <v>1560</v>
      </c>
      <c r="G48" s="1069" t="s">
        <v>1560</v>
      </c>
      <c r="H48" s="1069" t="s">
        <v>1560</v>
      </c>
      <c r="I48" s="1069" t="s">
        <v>1560</v>
      </c>
      <c r="J48" s="1070" t="s">
        <v>1560</v>
      </c>
      <c r="K48" s="1082">
        <v>0</v>
      </c>
      <c r="L48" s="1079">
        <v>0</v>
      </c>
      <c r="M48" s="1094">
        <v>0</v>
      </c>
      <c r="N48" s="1094">
        <v>0</v>
      </c>
      <c r="O48" s="1094">
        <v>0</v>
      </c>
      <c r="P48" s="1094">
        <v>0</v>
      </c>
      <c r="Q48" s="1094">
        <v>0</v>
      </c>
      <c r="R48" s="1094">
        <v>0</v>
      </c>
      <c r="S48" s="1094">
        <v>0</v>
      </c>
      <c r="T48" s="1094">
        <v>0</v>
      </c>
      <c r="U48" s="1094">
        <v>0</v>
      </c>
      <c r="V48" s="1094">
        <v>0</v>
      </c>
      <c r="W48" s="1094">
        <v>0</v>
      </c>
      <c r="X48" s="1094">
        <v>0</v>
      </c>
      <c r="Y48" s="1094">
        <v>0</v>
      </c>
      <c r="Z48" s="1094">
        <v>0</v>
      </c>
      <c r="AA48" s="1095">
        <v>0</v>
      </c>
      <c r="AB48" s="1095">
        <v>0</v>
      </c>
      <c r="AC48" s="1095">
        <v>0</v>
      </c>
      <c r="AD48" s="1095">
        <v>0</v>
      </c>
      <c r="AE48" s="1095">
        <v>0</v>
      </c>
      <c r="AF48" s="1095">
        <v>0</v>
      </c>
      <c r="AG48" s="1095">
        <v>0</v>
      </c>
      <c r="AH48" s="1095">
        <v>0</v>
      </c>
      <c r="AI48" s="1095">
        <v>0</v>
      </c>
      <c r="AJ48" s="1095">
        <v>0</v>
      </c>
      <c r="AK48" s="1095">
        <v>0</v>
      </c>
      <c r="AL48" s="1095">
        <v>0</v>
      </c>
      <c r="AM48" s="1095">
        <v>0</v>
      </c>
      <c r="AN48" s="1095">
        <v>0</v>
      </c>
      <c r="AO48" s="1095">
        <v>0</v>
      </c>
      <c r="AP48" s="1095">
        <v>0</v>
      </c>
      <c r="AQ48" s="1095">
        <v>0</v>
      </c>
      <c r="AR48" s="1095">
        <v>0</v>
      </c>
      <c r="AS48" s="1095">
        <v>0</v>
      </c>
      <c r="AT48" s="1095">
        <v>0</v>
      </c>
      <c r="AU48" s="1095">
        <v>0</v>
      </c>
    </row>
    <row r="49" spans="1:47" s="1077" customFormat="1" ht="30" x14ac:dyDescent="0.25">
      <c r="A49" s="99">
        <v>85</v>
      </c>
      <c r="B49" s="99"/>
      <c r="C49" s="1084">
        <v>85</v>
      </c>
      <c r="D49" s="1085" t="s">
        <v>1464</v>
      </c>
      <c r="E49" s="1091">
        <v>0</v>
      </c>
      <c r="F49" s="1069" t="s">
        <v>1560</v>
      </c>
      <c r="G49" s="1069" t="s">
        <v>1560</v>
      </c>
      <c r="H49" s="1069" t="s">
        <v>1560</v>
      </c>
      <c r="I49" s="1069" t="s">
        <v>1560</v>
      </c>
      <c r="J49" s="1070" t="s">
        <v>1560</v>
      </c>
      <c r="K49" s="1082">
        <v>0</v>
      </c>
      <c r="L49" s="1079">
        <v>0</v>
      </c>
      <c r="M49" s="1094">
        <v>0</v>
      </c>
      <c r="N49" s="1094">
        <v>0</v>
      </c>
      <c r="O49" s="1094">
        <v>0</v>
      </c>
      <c r="P49" s="1094">
        <v>0</v>
      </c>
      <c r="Q49" s="1094">
        <v>0</v>
      </c>
      <c r="R49" s="1094">
        <v>0</v>
      </c>
      <c r="S49" s="1094">
        <v>0</v>
      </c>
      <c r="T49" s="1094">
        <v>0</v>
      </c>
      <c r="U49" s="1094">
        <v>0</v>
      </c>
      <c r="V49" s="1094">
        <v>0</v>
      </c>
      <c r="W49" s="1094">
        <v>0</v>
      </c>
      <c r="X49" s="1094">
        <v>0</v>
      </c>
      <c r="Y49" s="1094">
        <v>0</v>
      </c>
      <c r="Z49" s="1094">
        <v>0</v>
      </c>
      <c r="AA49" s="1095">
        <v>0</v>
      </c>
      <c r="AB49" s="1095">
        <v>0</v>
      </c>
      <c r="AC49" s="1095">
        <v>0</v>
      </c>
      <c r="AD49" s="1095">
        <v>0</v>
      </c>
      <c r="AE49" s="1095">
        <v>0</v>
      </c>
      <c r="AF49" s="1095">
        <v>0</v>
      </c>
      <c r="AG49" s="1095">
        <v>0</v>
      </c>
      <c r="AH49" s="1095">
        <v>0</v>
      </c>
      <c r="AI49" s="1095">
        <v>0</v>
      </c>
      <c r="AJ49" s="1095">
        <v>0</v>
      </c>
      <c r="AK49" s="1095">
        <v>0</v>
      </c>
      <c r="AL49" s="1095">
        <v>0</v>
      </c>
      <c r="AM49" s="1095">
        <v>0</v>
      </c>
      <c r="AN49" s="1095">
        <v>0</v>
      </c>
      <c r="AO49" s="1095">
        <v>0</v>
      </c>
      <c r="AP49" s="1095">
        <v>0</v>
      </c>
      <c r="AQ49" s="1095">
        <v>0</v>
      </c>
      <c r="AR49" s="1095">
        <v>0</v>
      </c>
      <c r="AS49" s="1095">
        <v>0</v>
      </c>
      <c r="AT49" s="1095">
        <v>0</v>
      </c>
      <c r="AU49" s="1095">
        <v>0</v>
      </c>
    </row>
    <row r="50" spans="1:47" s="1077" customFormat="1" x14ac:dyDescent="0.25">
      <c r="A50" s="99">
        <v>88</v>
      </c>
      <c r="B50" s="99"/>
      <c r="C50" s="1084">
        <v>88</v>
      </c>
      <c r="D50" s="1085" t="s">
        <v>1465</v>
      </c>
      <c r="E50" s="1091">
        <v>0</v>
      </c>
      <c r="F50" s="1069" t="s">
        <v>1560</v>
      </c>
      <c r="G50" s="1069" t="s">
        <v>1560</v>
      </c>
      <c r="H50" s="1069" t="s">
        <v>1560</v>
      </c>
      <c r="I50" s="1069" t="s">
        <v>1560</v>
      </c>
      <c r="J50" s="1070" t="s">
        <v>1560</v>
      </c>
      <c r="K50" s="1082">
        <v>0</v>
      </c>
      <c r="L50" s="1079">
        <v>0</v>
      </c>
      <c r="M50" s="1094">
        <v>0</v>
      </c>
      <c r="N50" s="1094">
        <v>0</v>
      </c>
      <c r="O50" s="1094">
        <v>0</v>
      </c>
      <c r="P50" s="1094">
        <v>0</v>
      </c>
      <c r="Q50" s="1094">
        <v>0</v>
      </c>
      <c r="R50" s="1094">
        <v>0</v>
      </c>
      <c r="S50" s="1094">
        <v>0</v>
      </c>
      <c r="T50" s="1094">
        <v>0</v>
      </c>
      <c r="U50" s="1094">
        <v>0</v>
      </c>
      <c r="V50" s="1094">
        <v>0</v>
      </c>
      <c r="W50" s="1094">
        <v>0</v>
      </c>
      <c r="X50" s="1094">
        <v>0</v>
      </c>
      <c r="Y50" s="1094">
        <v>0</v>
      </c>
      <c r="Z50" s="1094">
        <v>0</v>
      </c>
      <c r="AA50" s="1095">
        <v>0</v>
      </c>
      <c r="AB50" s="1095">
        <v>0</v>
      </c>
      <c r="AC50" s="1095">
        <v>0</v>
      </c>
      <c r="AD50" s="1095">
        <v>0</v>
      </c>
      <c r="AE50" s="1095">
        <v>0</v>
      </c>
      <c r="AF50" s="1095">
        <v>0</v>
      </c>
      <c r="AG50" s="1095">
        <v>0</v>
      </c>
      <c r="AH50" s="1095">
        <v>0</v>
      </c>
      <c r="AI50" s="1095">
        <v>0</v>
      </c>
      <c r="AJ50" s="1095">
        <v>0</v>
      </c>
      <c r="AK50" s="1095">
        <v>0</v>
      </c>
      <c r="AL50" s="1095">
        <v>0</v>
      </c>
      <c r="AM50" s="1095">
        <v>0</v>
      </c>
      <c r="AN50" s="1095">
        <v>0</v>
      </c>
      <c r="AO50" s="1095">
        <v>0</v>
      </c>
      <c r="AP50" s="1095">
        <v>0</v>
      </c>
      <c r="AQ50" s="1095">
        <v>0</v>
      </c>
      <c r="AR50" s="1095">
        <v>0</v>
      </c>
      <c r="AS50" s="1095">
        <v>0</v>
      </c>
      <c r="AT50" s="1095">
        <v>0</v>
      </c>
      <c r="AU50" s="1095">
        <v>0</v>
      </c>
    </row>
    <row r="51" spans="1:47" s="1077" customFormat="1" ht="30" x14ac:dyDescent="0.25">
      <c r="A51" s="99">
        <v>89</v>
      </c>
      <c r="B51" s="99"/>
      <c r="C51" s="1084">
        <v>89</v>
      </c>
      <c r="D51" s="1085" t="s">
        <v>1466</v>
      </c>
      <c r="E51" s="1091">
        <v>0</v>
      </c>
      <c r="F51" s="1069" t="s">
        <v>1560</v>
      </c>
      <c r="G51" s="1069" t="s">
        <v>1560</v>
      </c>
      <c r="H51" s="1069" t="s">
        <v>1560</v>
      </c>
      <c r="I51" s="1069" t="s">
        <v>1560</v>
      </c>
      <c r="J51" s="1070" t="s">
        <v>1560</v>
      </c>
      <c r="K51" s="1082">
        <v>0</v>
      </c>
      <c r="L51" s="1079">
        <v>0</v>
      </c>
      <c r="M51" s="1094">
        <v>0</v>
      </c>
      <c r="N51" s="1094">
        <v>0</v>
      </c>
      <c r="O51" s="1094">
        <v>0</v>
      </c>
      <c r="P51" s="1094">
        <v>0</v>
      </c>
      <c r="Q51" s="1094">
        <v>0</v>
      </c>
      <c r="R51" s="1094">
        <v>0</v>
      </c>
      <c r="S51" s="1094">
        <v>0</v>
      </c>
      <c r="T51" s="1094">
        <v>0</v>
      </c>
      <c r="U51" s="1094">
        <v>0</v>
      </c>
      <c r="V51" s="1094">
        <v>0</v>
      </c>
      <c r="W51" s="1094">
        <v>0</v>
      </c>
      <c r="X51" s="1094">
        <v>0</v>
      </c>
      <c r="Y51" s="1094">
        <v>0</v>
      </c>
      <c r="Z51" s="1094">
        <v>0</v>
      </c>
      <c r="AA51" s="1095">
        <v>0</v>
      </c>
      <c r="AB51" s="1095">
        <v>0</v>
      </c>
      <c r="AC51" s="1095">
        <v>0</v>
      </c>
      <c r="AD51" s="1095">
        <v>0</v>
      </c>
      <c r="AE51" s="1095">
        <v>0</v>
      </c>
      <c r="AF51" s="1095">
        <v>0</v>
      </c>
      <c r="AG51" s="1095">
        <v>0</v>
      </c>
      <c r="AH51" s="1095">
        <v>0</v>
      </c>
      <c r="AI51" s="1095">
        <v>0</v>
      </c>
      <c r="AJ51" s="1095">
        <v>0</v>
      </c>
      <c r="AK51" s="1095">
        <v>0</v>
      </c>
      <c r="AL51" s="1095">
        <v>0</v>
      </c>
      <c r="AM51" s="1095">
        <v>0</v>
      </c>
      <c r="AN51" s="1095">
        <v>0</v>
      </c>
      <c r="AO51" s="1095">
        <v>0</v>
      </c>
      <c r="AP51" s="1095">
        <v>0</v>
      </c>
      <c r="AQ51" s="1095">
        <v>0</v>
      </c>
      <c r="AR51" s="1095">
        <v>0</v>
      </c>
      <c r="AS51" s="1095">
        <v>0</v>
      </c>
      <c r="AT51" s="1095">
        <v>0</v>
      </c>
      <c r="AU51" s="1095">
        <v>0</v>
      </c>
    </row>
    <row r="52" spans="1:47" s="1077" customFormat="1" ht="30" x14ac:dyDescent="0.25">
      <c r="A52" s="99">
        <v>90</v>
      </c>
      <c r="B52" s="99"/>
      <c r="C52" s="1084">
        <v>90</v>
      </c>
      <c r="D52" s="1085" t="s">
        <v>1467</v>
      </c>
      <c r="E52" s="1091">
        <v>0</v>
      </c>
      <c r="F52" s="1069" t="s">
        <v>1560</v>
      </c>
      <c r="G52" s="1069" t="s">
        <v>1560</v>
      </c>
      <c r="H52" s="1069" t="s">
        <v>1560</v>
      </c>
      <c r="I52" s="1069" t="s">
        <v>1560</v>
      </c>
      <c r="J52" s="1070" t="s">
        <v>1560</v>
      </c>
      <c r="K52" s="1082">
        <v>0</v>
      </c>
      <c r="L52" s="1079">
        <v>0</v>
      </c>
      <c r="M52" s="1094">
        <v>0</v>
      </c>
      <c r="N52" s="1094">
        <v>0</v>
      </c>
      <c r="O52" s="1094">
        <v>0</v>
      </c>
      <c r="P52" s="1094">
        <v>0</v>
      </c>
      <c r="Q52" s="1094">
        <v>0</v>
      </c>
      <c r="R52" s="1094">
        <v>0</v>
      </c>
      <c r="S52" s="1094">
        <v>0</v>
      </c>
      <c r="T52" s="1094">
        <v>0</v>
      </c>
      <c r="U52" s="1094">
        <v>0</v>
      </c>
      <c r="V52" s="1094">
        <v>0</v>
      </c>
      <c r="W52" s="1094">
        <v>0</v>
      </c>
      <c r="X52" s="1094">
        <v>0</v>
      </c>
      <c r="Y52" s="1094">
        <v>0</v>
      </c>
      <c r="Z52" s="1094">
        <v>0</v>
      </c>
      <c r="AA52" s="1095">
        <v>0</v>
      </c>
      <c r="AB52" s="1095">
        <v>0</v>
      </c>
      <c r="AC52" s="1095">
        <v>0</v>
      </c>
      <c r="AD52" s="1095">
        <v>0</v>
      </c>
      <c r="AE52" s="1095">
        <v>0</v>
      </c>
      <c r="AF52" s="1095">
        <v>0</v>
      </c>
      <c r="AG52" s="1095">
        <v>0</v>
      </c>
      <c r="AH52" s="1095">
        <v>0</v>
      </c>
      <c r="AI52" s="1095">
        <v>0</v>
      </c>
      <c r="AJ52" s="1095">
        <v>0</v>
      </c>
      <c r="AK52" s="1095">
        <v>0</v>
      </c>
      <c r="AL52" s="1095">
        <v>0</v>
      </c>
      <c r="AM52" s="1095">
        <v>0</v>
      </c>
      <c r="AN52" s="1095">
        <v>0</v>
      </c>
      <c r="AO52" s="1095">
        <v>0</v>
      </c>
      <c r="AP52" s="1095">
        <v>0</v>
      </c>
      <c r="AQ52" s="1095">
        <v>0</v>
      </c>
      <c r="AR52" s="1095">
        <v>0</v>
      </c>
      <c r="AS52" s="1095">
        <v>0</v>
      </c>
      <c r="AT52" s="1095">
        <v>0</v>
      </c>
      <c r="AU52" s="1095">
        <v>0</v>
      </c>
    </row>
    <row r="53" spans="1:47" s="1077" customFormat="1" ht="30" x14ac:dyDescent="0.25">
      <c r="A53" s="99">
        <v>91</v>
      </c>
      <c r="B53" s="99"/>
      <c r="C53" s="1084">
        <v>91</v>
      </c>
      <c r="D53" s="1085" t="s">
        <v>1468</v>
      </c>
      <c r="E53" s="1091">
        <v>0</v>
      </c>
      <c r="F53" s="1069" t="s">
        <v>1560</v>
      </c>
      <c r="G53" s="1069" t="s">
        <v>1560</v>
      </c>
      <c r="H53" s="1069" t="s">
        <v>1560</v>
      </c>
      <c r="I53" s="1069" t="s">
        <v>1560</v>
      </c>
      <c r="J53" s="1070" t="s">
        <v>1560</v>
      </c>
      <c r="K53" s="1082">
        <v>0</v>
      </c>
      <c r="L53" s="1079">
        <v>0</v>
      </c>
      <c r="M53" s="1094">
        <v>0</v>
      </c>
      <c r="N53" s="1094">
        <v>0</v>
      </c>
      <c r="O53" s="1094">
        <v>0</v>
      </c>
      <c r="P53" s="1094">
        <v>0</v>
      </c>
      <c r="Q53" s="1094">
        <v>0</v>
      </c>
      <c r="R53" s="1094">
        <v>0</v>
      </c>
      <c r="S53" s="1094">
        <v>0</v>
      </c>
      <c r="T53" s="1094">
        <v>0</v>
      </c>
      <c r="U53" s="1094">
        <v>0</v>
      </c>
      <c r="V53" s="1094">
        <v>0</v>
      </c>
      <c r="W53" s="1094">
        <v>0</v>
      </c>
      <c r="X53" s="1094">
        <v>0</v>
      </c>
      <c r="Y53" s="1094">
        <v>0</v>
      </c>
      <c r="Z53" s="1094">
        <v>0</v>
      </c>
      <c r="AA53" s="1095">
        <v>0</v>
      </c>
      <c r="AB53" s="1095">
        <v>0</v>
      </c>
      <c r="AC53" s="1095">
        <v>0</v>
      </c>
      <c r="AD53" s="1095">
        <v>0</v>
      </c>
      <c r="AE53" s="1095">
        <v>0</v>
      </c>
      <c r="AF53" s="1095">
        <v>0</v>
      </c>
      <c r="AG53" s="1095">
        <v>0</v>
      </c>
      <c r="AH53" s="1095">
        <v>0</v>
      </c>
      <c r="AI53" s="1095">
        <v>0</v>
      </c>
      <c r="AJ53" s="1095">
        <v>0</v>
      </c>
      <c r="AK53" s="1095">
        <v>0</v>
      </c>
      <c r="AL53" s="1095">
        <v>0</v>
      </c>
      <c r="AM53" s="1095">
        <v>0</v>
      </c>
      <c r="AN53" s="1095">
        <v>0</v>
      </c>
      <c r="AO53" s="1095">
        <v>0</v>
      </c>
      <c r="AP53" s="1095">
        <v>0</v>
      </c>
      <c r="AQ53" s="1095">
        <v>0</v>
      </c>
      <c r="AR53" s="1095">
        <v>0</v>
      </c>
      <c r="AS53" s="1095">
        <v>0</v>
      </c>
      <c r="AT53" s="1095">
        <v>0</v>
      </c>
      <c r="AU53" s="1095">
        <v>0</v>
      </c>
    </row>
    <row r="54" spans="1:47" s="1077" customFormat="1" ht="30" x14ac:dyDescent="0.25">
      <c r="A54" s="99">
        <v>92</v>
      </c>
      <c r="B54" s="99"/>
      <c r="C54" s="1084">
        <v>92</v>
      </c>
      <c r="D54" s="1085" t="s">
        <v>1469</v>
      </c>
      <c r="E54" s="1091">
        <v>0</v>
      </c>
      <c r="F54" s="1069" t="s">
        <v>1560</v>
      </c>
      <c r="G54" s="1069" t="s">
        <v>1560</v>
      </c>
      <c r="H54" s="1069" t="s">
        <v>1560</v>
      </c>
      <c r="I54" s="1069" t="s">
        <v>1560</v>
      </c>
      <c r="J54" s="1070" t="s">
        <v>1560</v>
      </c>
      <c r="K54" s="1082">
        <v>0</v>
      </c>
      <c r="L54" s="1079">
        <v>0</v>
      </c>
      <c r="M54" s="1094">
        <v>0</v>
      </c>
      <c r="N54" s="1094">
        <v>0</v>
      </c>
      <c r="O54" s="1094">
        <v>0</v>
      </c>
      <c r="P54" s="1094">
        <v>0</v>
      </c>
      <c r="Q54" s="1094">
        <v>0</v>
      </c>
      <c r="R54" s="1094">
        <v>0</v>
      </c>
      <c r="S54" s="1094">
        <v>0</v>
      </c>
      <c r="T54" s="1094">
        <v>0</v>
      </c>
      <c r="U54" s="1094">
        <v>0</v>
      </c>
      <c r="V54" s="1094">
        <v>0</v>
      </c>
      <c r="W54" s="1094">
        <v>0</v>
      </c>
      <c r="X54" s="1094">
        <v>0</v>
      </c>
      <c r="Y54" s="1094">
        <v>0</v>
      </c>
      <c r="Z54" s="1094">
        <v>0</v>
      </c>
      <c r="AA54" s="1095">
        <v>0</v>
      </c>
      <c r="AB54" s="1095">
        <v>0</v>
      </c>
      <c r="AC54" s="1095">
        <v>0</v>
      </c>
      <c r="AD54" s="1095">
        <v>0</v>
      </c>
      <c r="AE54" s="1095">
        <v>0</v>
      </c>
      <c r="AF54" s="1095">
        <v>0</v>
      </c>
      <c r="AG54" s="1095">
        <v>0</v>
      </c>
      <c r="AH54" s="1095">
        <v>0</v>
      </c>
      <c r="AI54" s="1095">
        <v>0</v>
      </c>
      <c r="AJ54" s="1095">
        <v>0</v>
      </c>
      <c r="AK54" s="1095">
        <v>0</v>
      </c>
      <c r="AL54" s="1095">
        <v>0</v>
      </c>
      <c r="AM54" s="1095">
        <v>0</v>
      </c>
      <c r="AN54" s="1095">
        <v>0</v>
      </c>
      <c r="AO54" s="1095">
        <v>0</v>
      </c>
      <c r="AP54" s="1095">
        <v>0</v>
      </c>
      <c r="AQ54" s="1095">
        <v>0</v>
      </c>
      <c r="AR54" s="1095">
        <v>0</v>
      </c>
      <c r="AS54" s="1095">
        <v>0</v>
      </c>
      <c r="AT54" s="1095">
        <v>0</v>
      </c>
      <c r="AU54" s="1095">
        <v>0</v>
      </c>
    </row>
    <row r="55" spans="1:47" s="1077" customFormat="1" x14ac:dyDescent="0.25">
      <c r="A55" s="99">
        <v>93</v>
      </c>
      <c r="B55" s="99"/>
      <c r="C55" s="1084">
        <v>93</v>
      </c>
      <c r="D55" s="1085" t="s">
        <v>1470</v>
      </c>
      <c r="E55" s="1091">
        <v>0</v>
      </c>
      <c r="F55" s="1069" t="s">
        <v>1560</v>
      </c>
      <c r="G55" s="1069" t="s">
        <v>1560</v>
      </c>
      <c r="H55" s="1069" t="s">
        <v>1560</v>
      </c>
      <c r="I55" s="1069" t="s">
        <v>1560</v>
      </c>
      <c r="J55" s="1070" t="s">
        <v>1560</v>
      </c>
      <c r="K55" s="1082">
        <v>0</v>
      </c>
      <c r="L55" s="1079">
        <v>0</v>
      </c>
      <c r="M55" s="1094">
        <v>0</v>
      </c>
      <c r="N55" s="1094">
        <v>0</v>
      </c>
      <c r="O55" s="1094">
        <v>0</v>
      </c>
      <c r="P55" s="1094">
        <v>0</v>
      </c>
      <c r="Q55" s="1094">
        <v>0</v>
      </c>
      <c r="R55" s="1094">
        <v>0</v>
      </c>
      <c r="S55" s="1094">
        <v>0</v>
      </c>
      <c r="T55" s="1094">
        <v>0</v>
      </c>
      <c r="U55" s="1094">
        <v>0</v>
      </c>
      <c r="V55" s="1094">
        <v>0</v>
      </c>
      <c r="W55" s="1094">
        <v>0</v>
      </c>
      <c r="X55" s="1094">
        <v>0</v>
      </c>
      <c r="Y55" s="1094">
        <v>0</v>
      </c>
      <c r="Z55" s="1094">
        <v>0</v>
      </c>
      <c r="AA55" s="1095">
        <v>0</v>
      </c>
      <c r="AB55" s="1095">
        <v>0</v>
      </c>
      <c r="AC55" s="1095">
        <v>0</v>
      </c>
      <c r="AD55" s="1095">
        <v>0</v>
      </c>
      <c r="AE55" s="1095">
        <v>0</v>
      </c>
      <c r="AF55" s="1095">
        <v>0</v>
      </c>
      <c r="AG55" s="1095">
        <v>0</v>
      </c>
      <c r="AH55" s="1095">
        <v>0</v>
      </c>
      <c r="AI55" s="1095">
        <v>0</v>
      </c>
      <c r="AJ55" s="1095">
        <v>0</v>
      </c>
      <c r="AK55" s="1095">
        <v>0</v>
      </c>
      <c r="AL55" s="1095">
        <v>0</v>
      </c>
      <c r="AM55" s="1095">
        <v>0</v>
      </c>
      <c r="AN55" s="1095">
        <v>0</v>
      </c>
      <c r="AO55" s="1095">
        <v>0</v>
      </c>
      <c r="AP55" s="1095">
        <v>0</v>
      </c>
      <c r="AQ55" s="1095">
        <v>0</v>
      </c>
      <c r="AR55" s="1095">
        <v>0</v>
      </c>
      <c r="AS55" s="1095">
        <v>0</v>
      </c>
      <c r="AT55" s="1095">
        <v>0</v>
      </c>
      <c r="AU55" s="1095">
        <v>0</v>
      </c>
    </row>
    <row r="56" spans="1:47" s="1077" customFormat="1" ht="30" x14ac:dyDescent="0.25">
      <c r="A56" s="99">
        <v>94</v>
      </c>
      <c r="B56" s="99"/>
      <c r="C56" s="1084">
        <v>94</v>
      </c>
      <c r="D56" s="1085" t="s">
        <v>1471</v>
      </c>
      <c r="E56" s="1091">
        <v>0</v>
      </c>
      <c r="F56" s="1069" t="s">
        <v>1560</v>
      </c>
      <c r="G56" s="1069" t="s">
        <v>1560</v>
      </c>
      <c r="H56" s="1069" t="s">
        <v>1560</v>
      </c>
      <c r="I56" s="1069" t="s">
        <v>1560</v>
      </c>
      <c r="J56" s="1070" t="s">
        <v>1560</v>
      </c>
      <c r="K56" s="1082">
        <v>0</v>
      </c>
      <c r="L56" s="1079">
        <v>0</v>
      </c>
      <c r="M56" s="1094">
        <v>0</v>
      </c>
      <c r="N56" s="1094">
        <v>0</v>
      </c>
      <c r="O56" s="1094">
        <v>0</v>
      </c>
      <c r="P56" s="1094">
        <v>0</v>
      </c>
      <c r="Q56" s="1094">
        <v>0</v>
      </c>
      <c r="R56" s="1094">
        <v>0</v>
      </c>
      <c r="S56" s="1094">
        <v>0</v>
      </c>
      <c r="T56" s="1094">
        <v>0</v>
      </c>
      <c r="U56" s="1094">
        <v>0</v>
      </c>
      <c r="V56" s="1094">
        <v>0</v>
      </c>
      <c r="W56" s="1094">
        <v>0</v>
      </c>
      <c r="X56" s="1094">
        <v>0</v>
      </c>
      <c r="Y56" s="1094">
        <v>0</v>
      </c>
      <c r="Z56" s="1094">
        <v>0</v>
      </c>
      <c r="AA56" s="1095">
        <v>0</v>
      </c>
      <c r="AB56" s="1095">
        <v>0</v>
      </c>
      <c r="AC56" s="1095">
        <v>0</v>
      </c>
      <c r="AD56" s="1095">
        <v>0</v>
      </c>
      <c r="AE56" s="1095">
        <v>0</v>
      </c>
      <c r="AF56" s="1095">
        <v>0</v>
      </c>
      <c r="AG56" s="1095">
        <v>0</v>
      </c>
      <c r="AH56" s="1095">
        <v>0</v>
      </c>
      <c r="AI56" s="1095">
        <v>0</v>
      </c>
      <c r="AJ56" s="1095">
        <v>0</v>
      </c>
      <c r="AK56" s="1095">
        <v>0</v>
      </c>
      <c r="AL56" s="1095">
        <v>0</v>
      </c>
      <c r="AM56" s="1095">
        <v>0</v>
      </c>
      <c r="AN56" s="1095">
        <v>0</v>
      </c>
      <c r="AO56" s="1095">
        <v>0</v>
      </c>
      <c r="AP56" s="1095">
        <v>0</v>
      </c>
      <c r="AQ56" s="1095">
        <v>0</v>
      </c>
      <c r="AR56" s="1095">
        <v>0</v>
      </c>
      <c r="AS56" s="1095">
        <v>0</v>
      </c>
      <c r="AT56" s="1095">
        <v>0</v>
      </c>
      <c r="AU56" s="1095">
        <v>0</v>
      </c>
    </row>
    <row r="57" spans="1:47" s="1077" customFormat="1" x14ac:dyDescent="0.25">
      <c r="A57" s="99">
        <v>97</v>
      </c>
      <c r="B57" s="99"/>
      <c r="C57" s="1084">
        <v>97</v>
      </c>
      <c r="D57" s="1085" t="s">
        <v>1472</v>
      </c>
      <c r="E57" s="1091">
        <v>0</v>
      </c>
      <c r="F57" s="1069" t="s">
        <v>1560</v>
      </c>
      <c r="G57" s="1069" t="s">
        <v>1560</v>
      </c>
      <c r="H57" s="1069" t="s">
        <v>1560</v>
      </c>
      <c r="I57" s="1069" t="s">
        <v>1560</v>
      </c>
      <c r="J57" s="1070" t="s">
        <v>1560</v>
      </c>
      <c r="K57" s="1082">
        <v>0</v>
      </c>
      <c r="L57" s="1079">
        <v>0</v>
      </c>
      <c r="M57" s="1094">
        <v>0</v>
      </c>
      <c r="N57" s="1094">
        <v>0</v>
      </c>
      <c r="O57" s="1094">
        <v>0</v>
      </c>
      <c r="P57" s="1094">
        <v>0</v>
      </c>
      <c r="Q57" s="1094">
        <v>0</v>
      </c>
      <c r="R57" s="1094">
        <v>0</v>
      </c>
      <c r="S57" s="1094">
        <v>0</v>
      </c>
      <c r="T57" s="1094">
        <v>0</v>
      </c>
      <c r="U57" s="1094">
        <v>0</v>
      </c>
      <c r="V57" s="1094">
        <v>0</v>
      </c>
      <c r="W57" s="1094">
        <v>0</v>
      </c>
      <c r="X57" s="1094">
        <v>0</v>
      </c>
      <c r="Y57" s="1094">
        <v>0</v>
      </c>
      <c r="Z57" s="1094">
        <v>0</v>
      </c>
      <c r="AA57" s="1095">
        <v>0</v>
      </c>
      <c r="AB57" s="1095">
        <v>0</v>
      </c>
      <c r="AC57" s="1095">
        <v>0</v>
      </c>
      <c r="AD57" s="1095">
        <v>0</v>
      </c>
      <c r="AE57" s="1095">
        <v>0</v>
      </c>
      <c r="AF57" s="1095">
        <v>0</v>
      </c>
      <c r="AG57" s="1095">
        <v>0</v>
      </c>
      <c r="AH57" s="1095">
        <v>0</v>
      </c>
      <c r="AI57" s="1095">
        <v>0</v>
      </c>
      <c r="AJ57" s="1095">
        <v>0</v>
      </c>
      <c r="AK57" s="1095">
        <v>0</v>
      </c>
      <c r="AL57" s="1095">
        <v>0</v>
      </c>
      <c r="AM57" s="1095">
        <v>0</v>
      </c>
      <c r="AN57" s="1095">
        <v>0</v>
      </c>
      <c r="AO57" s="1095">
        <v>0</v>
      </c>
      <c r="AP57" s="1095">
        <v>0</v>
      </c>
      <c r="AQ57" s="1095">
        <v>0</v>
      </c>
      <c r="AR57" s="1095">
        <v>0</v>
      </c>
      <c r="AS57" s="1095">
        <v>0</v>
      </c>
      <c r="AT57" s="1095">
        <v>0</v>
      </c>
      <c r="AU57" s="1095">
        <v>0</v>
      </c>
    </row>
    <row r="58" spans="1:47" s="1077" customFormat="1" ht="30" x14ac:dyDescent="0.25">
      <c r="A58" s="99">
        <v>98</v>
      </c>
      <c r="B58" s="99"/>
      <c r="C58" s="1084">
        <v>98</v>
      </c>
      <c r="D58" s="1085" t="s">
        <v>1473</v>
      </c>
      <c r="E58" s="1091">
        <v>0</v>
      </c>
      <c r="F58" s="1069" t="s">
        <v>1560</v>
      </c>
      <c r="G58" s="1069" t="s">
        <v>1560</v>
      </c>
      <c r="H58" s="1069" t="s">
        <v>1560</v>
      </c>
      <c r="I58" s="1069" t="s">
        <v>1560</v>
      </c>
      <c r="J58" s="1070" t="s">
        <v>1560</v>
      </c>
      <c r="K58" s="1082">
        <v>0</v>
      </c>
      <c r="L58" s="1079">
        <v>0</v>
      </c>
      <c r="M58" s="1094">
        <v>0</v>
      </c>
      <c r="N58" s="1094">
        <v>0</v>
      </c>
      <c r="O58" s="1094">
        <v>0</v>
      </c>
      <c r="P58" s="1094">
        <v>0</v>
      </c>
      <c r="Q58" s="1094">
        <v>0</v>
      </c>
      <c r="R58" s="1094">
        <v>0</v>
      </c>
      <c r="S58" s="1094">
        <v>0</v>
      </c>
      <c r="T58" s="1094">
        <v>0</v>
      </c>
      <c r="U58" s="1094">
        <v>0</v>
      </c>
      <c r="V58" s="1094">
        <v>0</v>
      </c>
      <c r="W58" s="1094">
        <v>0</v>
      </c>
      <c r="X58" s="1094">
        <v>0</v>
      </c>
      <c r="Y58" s="1094">
        <v>0</v>
      </c>
      <c r="Z58" s="1094">
        <v>0</v>
      </c>
      <c r="AA58" s="1095">
        <v>0</v>
      </c>
      <c r="AB58" s="1095">
        <v>0</v>
      </c>
      <c r="AC58" s="1095">
        <v>0</v>
      </c>
      <c r="AD58" s="1095">
        <v>0</v>
      </c>
      <c r="AE58" s="1095">
        <v>0</v>
      </c>
      <c r="AF58" s="1095">
        <v>0</v>
      </c>
      <c r="AG58" s="1095">
        <v>0</v>
      </c>
      <c r="AH58" s="1095">
        <v>0</v>
      </c>
      <c r="AI58" s="1095">
        <v>0</v>
      </c>
      <c r="AJ58" s="1095">
        <v>0</v>
      </c>
      <c r="AK58" s="1095">
        <v>0</v>
      </c>
      <c r="AL58" s="1095">
        <v>0</v>
      </c>
      <c r="AM58" s="1095">
        <v>0</v>
      </c>
      <c r="AN58" s="1095">
        <v>0</v>
      </c>
      <c r="AO58" s="1095">
        <v>0</v>
      </c>
      <c r="AP58" s="1095">
        <v>0</v>
      </c>
      <c r="AQ58" s="1095">
        <v>0</v>
      </c>
      <c r="AR58" s="1095">
        <v>0</v>
      </c>
      <c r="AS58" s="1095">
        <v>0</v>
      </c>
      <c r="AT58" s="1095">
        <v>0</v>
      </c>
      <c r="AU58" s="1095">
        <v>0</v>
      </c>
    </row>
    <row r="59" spans="1:47" s="1077" customFormat="1" ht="30" x14ac:dyDescent="0.25">
      <c r="A59" s="99">
        <v>99</v>
      </c>
      <c r="B59" s="99"/>
      <c r="C59" s="1084">
        <v>99</v>
      </c>
      <c r="D59" s="1085" t="s">
        <v>1474</v>
      </c>
      <c r="E59" s="1091">
        <v>0</v>
      </c>
      <c r="F59" s="1069" t="s">
        <v>1560</v>
      </c>
      <c r="G59" s="1069" t="s">
        <v>1560</v>
      </c>
      <c r="H59" s="1069" t="s">
        <v>1560</v>
      </c>
      <c r="I59" s="1069" t="s">
        <v>1560</v>
      </c>
      <c r="J59" s="1070" t="s">
        <v>1560</v>
      </c>
      <c r="K59" s="1082">
        <v>0</v>
      </c>
      <c r="L59" s="1079">
        <v>0</v>
      </c>
      <c r="M59" s="1094">
        <v>0</v>
      </c>
      <c r="N59" s="1094">
        <v>0</v>
      </c>
      <c r="O59" s="1094">
        <v>0</v>
      </c>
      <c r="P59" s="1094">
        <v>0</v>
      </c>
      <c r="Q59" s="1094">
        <v>0</v>
      </c>
      <c r="R59" s="1094">
        <v>0</v>
      </c>
      <c r="S59" s="1094">
        <v>0</v>
      </c>
      <c r="T59" s="1094">
        <v>0</v>
      </c>
      <c r="U59" s="1094">
        <v>0</v>
      </c>
      <c r="V59" s="1094">
        <v>0</v>
      </c>
      <c r="W59" s="1094">
        <v>0</v>
      </c>
      <c r="X59" s="1094">
        <v>0</v>
      </c>
      <c r="Y59" s="1094">
        <v>0</v>
      </c>
      <c r="Z59" s="1094">
        <v>0</v>
      </c>
      <c r="AA59" s="1095">
        <v>0</v>
      </c>
      <c r="AB59" s="1095">
        <v>0</v>
      </c>
      <c r="AC59" s="1095">
        <v>0</v>
      </c>
      <c r="AD59" s="1095">
        <v>0</v>
      </c>
      <c r="AE59" s="1095">
        <v>0</v>
      </c>
      <c r="AF59" s="1095">
        <v>0</v>
      </c>
      <c r="AG59" s="1095">
        <v>0</v>
      </c>
      <c r="AH59" s="1095">
        <v>0</v>
      </c>
      <c r="AI59" s="1095">
        <v>0</v>
      </c>
      <c r="AJ59" s="1095">
        <v>0</v>
      </c>
      <c r="AK59" s="1095">
        <v>0</v>
      </c>
      <c r="AL59" s="1095">
        <v>0</v>
      </c>
      <c r="AM59" s="1095">
        <v>0</v>
      </c>
      <c r="AN59" s="1095">
        <v>0</v>
      </c>
      <c r="AO59" s="1095">
        <v>0</v>
      </c>
      <c r="AP59" s="1095">
        <v>0</v>
      </c>
      <c r="AQ59" s="1095">
        <v>0</v>
      </c>
      <c r="AR59" s="1095">
        <v>0</v>
      </c>
      <c r="AS59" s="1095">
        <v>0</v>
      </c>
      <c r="AT59" s="1095">
        <v>0</v>
      </c>
      <c r="AU59" s="1095">
        <v>0</v>
      </c>
    </row>
    <row r="60" spans="1:47" s="1077" customFormat="1" ht="30" x14ac:dyDescent="0.25">
      <c r="A60" s="99">
        <v>100</v>
      </c>
      <c r="B60" s="99"/>
      <c r="C60" s="1084">
        <v>100</v>
      </c>
      <c r="D60" s="1085" t="s">
        <v>1475</v>
      </c>
      <c r="E60" s="1091">
        <v>0</v>
      </c>
      <c r="F60" s="1069" t="s">
        <v>1560</v>
      </c>
      <c r="G60" s="1069" t="s">
        <v>1560</v>
      </c>
      <c r="H60" s="1069" t="s">
        <v>1560</v>
      </c>
      <c r="I60" s="1069" t="s">
        <v>1560</v>
      </c>
      <c r="J60" s="1070" t="s">
        <v>1560</v>
      </c>
      <c r="K60" s="1082">
        <v>0</v>
      </c>
      <c r="L60" s="1079">
        <v>0</v>
      </c>
      <c r="M60" s="1094">
        <v>0</v>
      </c>
      <c r="N60" s="1094">
        <v>0</v>
      </c>
      <c r="O60" s="1094">
        <v>0</v>
      </c>
      <c r="P60" s="1094">
        <v>0</v>
      </c>
      <c r="Q60" s="1094">
        <v>0</v>
      </c>
      <c r="R60" s="1094">
        <v>0</v>
      </c>
      <c r="S60" s="1094">
        <v>0</v>
      </c>
      <c r="T60" s="1094">
        <v>0</v>
      </c>
      <c r="U60" s="1094">
        <v>0</v>
      </c>
      <c r="V60" s="1094">
        <v>0</v>
      </c>
      <c r="W60" s="1094">
        <v>0</v>
      </c>
      <c r="X60" s="1094">
        <v>0</v>
      </c>
      <c r="Y60" s="1094">
        <v>0</v>
      </c>
      <c r="Z60" s="1094">
        <v>0</v>
      </c>
      <c r="AA60" s="1095">
        <v>0</v>
      </c>
      <c r="AB60" s="1095">
        <v>0</v>
      </c>
      <c r="AC60" s="1095">
        <v>0</v>
      </c>
      <c r="AD60" s="1095">
        <v>0</v>
      </c>
      <c r="AE60" s="1095">
        <v>0</v>
      </c>
      <c r="AF60" s="1095">
        <v>0</v>
      </c>
      <c r="AG60" s="1095">
        <v>0</v>
      </c>
      <c r="AH60" s="1095">
        <v>0</v>
      </c>
      <c r="AI60" s="1095">
        <v>0</v>
      </c>
      <c r="AJ60" s="1095">
        <v>0</v>
      </c>
      <c r="AK60" s="1095">
        <v>0</v>
      </c>
      <c r="AL60" s="1095">
        <v>0</v>
      </c>
      <c r="AM60" s="1095">
        <v>0</v>
      </c>
      <c r="AN60" s="1095">
        <v>0</v>
      </c>
      <c r="AO60" s="1095">
        <v>0</v>
      </c>
      <c r="AP60" s="1095">
        <v>0</v>
      </c>
      <c r="AQ60" s="1095">
        <v>0</v>
      </c>
      <c r="AR60" s="1095">
        <v>0</v>
      </c>
      <c r="AS60" s="1095">
        <v>0</v>
      </c>
      <c r="AT60" s="1095">
        <v>0</v>
      </c>
      <c r="AU60" s="1095">
        <v>0</v>
      </c>
    </row>
    <row r="61" spans="1:47" s="1077" customFormat="1" ht="30" x14ac:dyDescent="0.25">
      <c r="A61" s="99">
        <v>101</v>
      </c>
      <c r="B61" s="99"/>
      <c r="C61" s="1084">
        <v>101</v>
      </c>
      <c r="D61" s="1085" t="s">
        <v>1476</v>
      </c>
      <c r="E61" s="1091">
        <v>0</v>
      </c>
      <c r="F61" s="1069" t="s">
        <v>1560</v>
      </c>
      <c r="G61" s="1069" t="s">
        <v>1560</v>
      </c>
      <c r="H61" s="1069" t="s">
        <v>1560</v>
      </c>
      <c r="I61" s="1069" t="s">
        <v>1560</v>
      </c>
      <c r="J61" s="1070" t="s">
        <v>1560</v>
      </c>
      <c r="K61" s="1082">
        <v>0</v>
      </c>
      <c r="L61" s="1079">
        <v>0</v>
      </c>
      <c r="M61" s="1094">
        <v>0</v>
      </c>
      <c r="N61" s="1094">
        <v>0</v>
      </c>
      <c r="O61" s="1094">
        <v>0</v>
      </c>
      <c r="P61" s="1094">
        <v>0</v>
      </c>
      <c r="Q61" s="1094">
        <v>0</v>
      </c>
      <c r="R61" s="1094">
        <v>0</v>
      </c>
      <c r="S61" s="1094">
        <v>0</v>
      </c>
      <c r="T61" s="1094">
        <v>0</v>
      </c>
      <c r="U61" s="1094">
        <v>0</v>
      </c>
      <c r="V61" s="1094">
        <v>0</v>
      </c>
      <c r="W61" s="1094">
        <v>0</v>
      </c>
      <c r="X61" s="1094">
        <v>0</v>
      </c>
      <c r="Y61" s="1094">
        <v>0</v>
      </c>
      <c r="Z61" s="1094">
        <v>0</v>
      </c>
      <c r="AA61" s="1095">
        <v>0</v>
      </c>
      <c r="AB61" s="1095">
        <v>0</v>
      </c>
      <c r="AC61" s="1095">
        <v>0</v>
      </c>
      <c r="AD61" s="1095">
        <v>0</v>
      </c>
      <c r="AE61" s="1095">
        <v>0</v>
      </c>
      <c r="AF61" s="1095">
        <v>0</v>
      </c>
      <c r="AG61" s="1095">
        <v>0</v>
      </c>
      <c r="AH61" s="1095">
        <v>0</v>
      </c>
      <c r="AI61" s="1095">
        <v>0</v>
      </c>
      <c r="AJ61" s="1095">
        <v>0</v>
      </c>
      <c r="AK61" s="1095">
        <v>0</v>
      </c>
      <c r="AL61" s="1095">
        <v>0</v>
      </c>
      <c r="AM61" s="1095">
        <v>0</v>
      </c>
      <c r="AN61" s="1095">
        <v>0</v>
      </c>
      <c r="AO61" s="1095">
        <v>0</v>
      </c>
      <c r="AP61" s="1095">
        <v>0</v>
      </c>
      <c r="AQ61" s="1095">
        <v>0</v>
      </c>
      <c r="AR61" s="1095">
        <v>0</v>
      </c>
      <c r="AS61" s="1095">
        <v>0</v>
      </c>
      <c r="AT61" s="1095">
        <v>0</v>
      </c>
      <c r="AU61" s="1095">
        <v>0</v>
      </c>
    </row>
    <row r="62" spans="1:47" s="410" customFormat="1" ht="30" x14ac:dyDescent="0.25">
      <c r="A62" s="99">
        <v>102</v>
      </c>
      <c r="B62" s="99"/>
      <c r="C62" s="1084">
        <v>102</v>
      </c>
      <c r="D62" s="1085" t="s">
        <v>1477</v>
      </c>
      <c r="E62" s="1091">
        <v>0</v>
      </c>
      <c r="F62" s="1069" t="s">
        <v>1560</v>
      </c>
      <c r="G62" s="1069" t="s">
        <v>1560</v>
      </c>
      <c r="H62" s="1069" t="s">
        <v>1560</v>
      </c>
      <c r="I62" s="1069" t="s">
        <v>1560</v>
      </c>
      <c r="J62" s="1070" t="s">
        <v>1560</v>
      </c>
      <c r="K62" s="1092">
        <v>0</v>
      </c>
      <c r="L62" s="1093">
        <v>0</v>
      </c>
      <c r="M62" s="1093">
        <v>0</v>
      </c>
      <c r="N62" s="1093">
        <v>0</v>
      </c>
      <c r="O62" s="1093">
        <v>0</v>
      </c>
      <c r="P62" s="1093">
        <v>0</v>
      </c>
      <c r="Q62" s="1093">
        <v>0</v>
      </c>
      <c r="R62" s="1093">
        <v>0</v>
      </c>
      <c r="S62" s="1093">
        <v>0</v>
      </c>
      <c r="T62" s="1093">
        <v>0</v>
      </c>
      <c r="U62" s="1093">
        <v>0</v>
      </c>
      <c r="V62" s="1093">
        <v>0</v>
      </c>
      <c r="W62" s="1093">
        <v>0</v>
      </c>
      <c r="X62" s="1093">
        <v>0</v>
      </c>
      <c r="Y62" s="1093">
        <v>0</v>
      </c>
      <c r="Z62" s="1093">
        <v>0</v>
      </c>
      <c r="AA62" s="1092">
        <v>0</v>
      </c>
      <c r="AB62" s="1092">
        <v>0</v>
      </c>
      <c r="AC62" s="1092">
        <v>0</v>
      </c>
      <c r="AD62" s="1092">
        <v>0</v>
      </c>
      <c r="AE62" s="1092">
        <v>0</v>
      </c>
      <c r="AF62" s="1092">
        <v>0</v>
      </c>
      <c r="AG62" s="1092">
        <v>0</v>
      </c>
      <c r="AH62" s="1092">
        <v>0</v>
      </c>
      <c r="AI62" s="1092">
        <v>0</v>
      </c>
      <c r="AJ62" s="1092">
        <v>0</v>
      </c>
      <c r="AK62" s="1092">
        <v>0</v>
      </c>
      <c r="AL62" s="1092">
        <v>0</v>
      </c>
      <c r="AM62" s="1092">
        <v>0</v>
      </c>
      <c r="AN62" s="1092">
        <v>0</v>
      </c>
      <c r="AO62" s="1092">
        <v>0</v>
      </c>
      <c r="AP62" s="1092">
        <v>0</v>
      </c>
      <c r="AQ62" s="1092">
        <v>0</v>
      </c>
      <c r="AR62" s="1092">
        <v>0</v>
      </c>
      <c r="AS62" s="1092">
        <v>0</v>
      </c>
      <c r="AT62" s="1092">
        <v>0</v>
      </c>
      <c r="AU62" s="1092">
        <v>0</v>
      </c>
    </row>
    <row r="63" spans="1:47" s="410" customFormat="1" x14ac:dyDescent="0.25">
      <c r="A63" s="99">
        <v>103</v>
      </c>
      <c r="B63" s="99"/>
      <c r="C63" s="1084">
        <v>103</v>
      </c>
      <c r="D63" s="1085" t="s">
        <v>1478</v>
      </c>
      <c r="E63" s="1091">
        <v>0</v>
      </c>
      <c r="F63" s="1069" t="s">
        <v>1560</v>
      </c>
      <c r="G63" s="1069" t="s">
        <v>1560</v>
      </c>
      <c r="H63" s="1069" t="s">
        <v>1560</v>
      </c>
      <c r="I63" s="1069" t="s">
        <v>1560</v>
      </c>
      <c r="J63" s="1070" t="s">
        <v>1560</v>
      </c>
      <c r="K63" s="1092">
        <v>0</v>
      </c>
      <c r="L63" s="1093">
        <v>0</v>
      </c>
      <c r="M63" s="1093">
        <v>0</v>
      </c>
      <c r="N63" s="1093">
        <v>0</v>
      </c>
      <c r="O63" s="1093">
        <v>0</v>
      </c>
      <c r="P63" s="1093">
        <v>0</v>
      </c>
      <c r="Q63" s="1093">
        <v>0</v>
      </c>
      <c r="R63" s="1093">
        <v>0</v>
      </c>
      <c r="S63" s="1093">
        <v>0</v>
      </c>
      <c r="T63" s="1093">
        <v>0</v>
      </c>
      <c r="U63" s="1093">
        <v>0</v>
      </c>
      <c r="V63" s="1093">
        <v>0</v>
      </c>
      <c r="W63" s="1093">
        <v>0</v>
      </c>
      <c r="X63" s="1093">
        <v>0</v>
      </c>
      <c r="Y63" s="1093">
        <v>0</v>
      </c>
      <c r="Z63" s="1093">
        <v>0</v>
      </c>
      <c r="AA63" s="1092">
        <v>0</v>
      </c>
      <c r="AB63" s="1092">
        <v>0</v>
      </c>
      <c r="AC63" s="1092">
        <v>0</v>
      </c>
      <c r="AD63" s="1092">
        <v>0</v>
      </c>
      <c r="AE63" s="1092">
        <v>0</v>
      </c>
      <c r="AF63" s="1092">
        <v>0</v>
      </c>
      <c r="AG63" s="1092">
        <v>0</v>
      </c>
      <c r="AH63" s="1092">
        <v>0</v>
      </c>
      <c r="AI63" s="1092">
        <v>0</v>
      </c>
      <c r="AJ63" s="1092">
        <v>0</v>
      </c>
      <c r="AK63" s="1092">
        <v>0</v>
      </c>
      <c r="AL63" s="1092">
        <v>0</v>
      </c>
      <c r="AM63" s="1092">
        <v>0</v>
      </c>
      <c r="AN63" s="1092">
        <v>0</v>
      </c>
      <c r="AO63" s="1092">
        <v>0</v>
      </c>
      <c r="AP63" s="1092">
        <v>0</v>
      </c>
      <c r="AQ63" s="1092">
        <v>0</v>
      </c>
      <c r="AR63" s="1092">
        <v>0</v>
      </c>
      <c r="AS63" s="1092">
        <v>0</v>
      </c>
      <c r="AT63" s="1092">
        <v>0</v>
      </c>
      <c r="AU63" s="1092">
        <v>0</v>
      </c>
    </row>
    <row r="64" spans="1:47" s="1077" customFormat="1" x14ac:dyDescent="0.25">
      <c r="A64" s="99">
        <v>104</v>
      </c>
      <c r="B64" s="99"/>
      <c r="C64" s="1084">
        <v>104</v>
      </c>
      <c r="D64" s="1090" t="s">
        <v>306</v>
      </c>
      <c r="E64" s="1091">
        <v>0</v>
      </c>
      <c r="F64" s="1069" t="s">
        <v>1560</v>
      </c>
      <c r="G64" s="1069" t="s">
        <v>1560</v>
      </c>
      <c r="H64" s="1069" t="s">
        <v>1560</v>
      </c>
      <c r="I64" s="1069" t="s">
        <v>1560</v>
      </c>
      <c r="J64" s="1070" t="s">
        <v>1560</v>
      </c>
      <c r="K64" s="1082">
        <v>0</v>
      </c>
      <c r="L64" s="1079">
        <v>0</v>
      </c>
      <c r="M64" s="1094">
        <v>0</v>
      </c>
      <c r="N64" s="1094">
        <v>0</v>
      </c>
      <c r="O64" s="1094">
        <v>0</v>
      </c>
      <c r="P64" s="1094">
        <v>0</v>
      </c>
      <c r="Q64" s="1094">
        <v>0</v>
      </c>
      <c r="R64" s="1094">
        <v>0</v>
      </c>
      <c r="S64" s="1094">
        <v>0</v>
      </c>
      <c r="T64" s="1094">
        <v>0</v>
      </c>
      <c r="U64" s="1094">
        <v>0</v>
      </c>
      <c r="V64" s="1094">
        <v>0</v>
      </c>
      <c r="W64" s="1094">
        <v>0</v>
      </c>
      <c r="X64" s="1094">
        <v>0</v>
      </c>
      <c r="Y64" s="1094">
        <v>0</v>
      </c>
      <c r="Z64" s="1094">
        <v>0</v>
      </c>
      <c r="AA64" s="1095">
        <v>0</v>
      </c>
      <c r="AB64" s="1095">
        <v>0</v>
      </c>
      <c r="AC64" s="1095">
        <v>0</v>
      </c>
      <c r="AD64" s="1095">
        <v>0</v>
      </c>
      <c r="AE64" s="1095">
        <v>0</v>
      </c>
      <c r="AF64" s="1095">
        <v>0</v>
      </c>
      <c r="AG64" s="1095">
        <v>0</v>
      </c>
      <c r="AH64" s="1095">
        <v>0</v>
      </c>
      <c r="AI64" s="1095">
        <v>0</v>
      </c>
      <c r="AJ64" s="1095">
        <v>0</v>
      </c>
      <c r="AK64" s="1095">
        <v>0</v>
      </c>
      <c r="AL64" s="1095">
        <v>0</v>
      </c>
      <c r="AM64" s="1095">
        <v>0</v>
      </c>
      <c r="AN64" s="1095">
        <v>0</v>
      </c>
      <c r="AO64" s="1095">
        <v>0</v>
      </c>
      <c r="AP64" s="1095">
        <v>0</v>
      </c>
      <c r="AQ64" s="1095">
        <v>0</v>
      </c>
      <c r="AR64" s="1095">
        <v>0</v>
      </c>
      <c r="AS64" s="1095">
        <v>0</v>
      </c>
      <c r="AT64" s="1095">
        <v>0</v>
      </c>
      <c r="AU64" s="1095">
        <v>0</v>
      </c>
    </row>
    <row r="65" spans="1:47" s="1077" customFormat="1" ht="25.5" x14ac:dyDescent="0.25">
      <c r="A65" s="99">
        <v>107</v>
      </c>
      <c r="B65" s="99"/>
      <c r="C65" s="1084">
        <v>107</v>
      </c>
      <c r="D65" s="1090" t="s">
        <v>391</v>
      </c>
      <c r="E65" s="1091">
        <v>0</v>
      </c>
      <c r="F65" s="1069" t="s">
        <v>1560</v>
      </c>
      <c r="G65" s="1069" t="s">
        <v>1560</v>
      </c>
      <c r="H65" s="1069" t="s">
        <v>1560</v>
      </c>
      <c r="I65" s="1069" t="s">
        <v>1560</v>
      </c>
      <c r="J65" s="1070" t="s">
        <v>1560</v>
      </c>
      <c r="K65" s="1082">
        <v>0</v>
      </c>
      <c r="L65" s="1079">
        <v>0</v>
      </c>
      <c r="M65" s="1094">
        <v>0</v>
      </c>
      <c r="N65" s="1094">
        <v>0</v>
      </c>
      <c r="O65" s="1094">
        <v>0</v>
      </c>
      <c r="P65" s="1094">
        <v>0</v>
      </c>
      <c r="Q65" s="1094">
        <v>0</v>
      </c>
      <c r="R65" s="1094">
        <v>0</v>
      </c>
      <c r="S65" s="1094">
        <v>0</v>
      </c>
      <c r="T65" s="1094">
        <v>0</v>
      </c>
      <c r="U65" s="1094">
        <v>0</v>
      </c>
      <c r="V65" s="1094">
        <v>0</v>
      </c>
      <c r="W65" s="1094">
        <v>0</v>
      </c>
      <c r="X65" s="1094">
        <v>0</v>
      </c>
      <c r="Y65" s="1094">
        <v>0</v>
      </c>
      <c r="Z65" s="1094">
        <v>0</v>
      </c>
      <c r="AA65" s="1095">
        <v>0</v>
      </c>
      <c r="AB65" s="1095">
        <v>0</v>
      </c>
      <c r="AC65" s="1095">
        <v>0</v>
      </c>
      <c r="AD65" s="1095">
        <v>0</v>
      </c>
      <c r="AE65" s="1095">
        <v>0</v>
      </c>
      <c r="AF65" s="1095">
        <v>0</v>
      </c>
      <c r="AG65" s="1095">
        <v>0</v>
      </c>
      <c r="AH65" s="1095">
        <v>0</v>
      </c>
      <c r="AI65" s="1095">
        <v>0</v>
      </c>
      <c r="AJ65" s="1095">
        <v>0</v>
      </c>
      <c r="AK65" s="1095">
        <v>0</v>
      </c>
      <c r="AL65" s="1095">
        <v>0</v>
      </c>
      <c r="AM65" s="1095">
        <v>0</v>
      </c>
      <c r="AN65" s="1095">
        <v>0</v>
      </c>
      <c r="AO65" s="1095">
        <v>0</v>
      </c>
      <c r="AP65" s="1095">
        <v>0</v>
      </c>
      <c r="AQ65" s="1095">
        <v>0</v>
      </c>
      <c r="AR65" s="1095">
        <v>0</v>
      </c>
      <c r="AS65" s="1095">
        <v>0</v>
      </c>
      <c r="AT65" s="1095">
        <v>0</v>
      </c>
      <c r="AU65" s="1095">
        <v>0</v>
      </c>
    </row>
    <row r="66" spans="1:47" s="1077" customFormat="1" ht="25.5" x14ac:dyDescent="0.25">
      <c r="A66" s="99">
        <v>108</v>
      </c>
      <c r="B66" s="99"/>
      <c r="C66" s="1084">
        <v>108</v>
      </c>
      <c r="D66" s="1090" t="s">
        <v>392</v>
      </c>
      <c r="E66" s="1091">
        <v>0</v>
      </c>
      <c r="F66" s="1069" t="s">
        <v>1560</v>
      </c>
      <c r="G66" s="1069" t="s">
        <v>1560</v>
      </c>
      <c r="H66" s="1069" t="s">
        <v>1560</v>
      </c>
      <c r="I66" s="1069" t="s">
        <v>1560</v>
      </c>
      <c r="J66" s="1070" t="s">
        <v>1560</v>
      </c>
      <c r="K66" s="1082">
        <v>0</v>
      </c>
      <c r="L66" s="1079">
        <v>0</v>
      </c>
      <c r="M66" s="1094">
        <v>0</v>
      </c>
      <c r="N66" s="1094">
        <v>0</v>
      </c>
      <c r="O66" s="1094">
        <v>0</v>
      </c>
      <c r="P66" s="1094">
        <v>0</v>
      </c>
      <c r="Q66" s="1094">
        <v>0</v>
      </c>
      <c r="R66" s="1094">
        <v>0</v>
      </c>
      <c r="S66" s="1094">
        <v>0</v>
      </c>
      <c r="T66" s="1094">
        <v>0</v>
      </c>
      <c r="U66" s="1094">
        <v>0</v>
      </c>
      <c r="V66" s="1094">
        <v>0</v>
      </c>
      <c r="W66" s="1094">
        <v>0</v>
      </c>
      <c r="X66" s="1094">
        <v>0</v>
      </c>
      <c r="Y66" s="1094">
        <v>0</v>
      </c>
      <c r="Z66" s="1094">
        <v>0</v>
      </c>
      <c r="AA66" s="1095">
        <v>0</v>
      </c>
      <c r="AB66" s="1095">
        <v>0</v>
      </c>
      <c r="AC66" s="1095">
        <v>0</v>
      </c>
      <c r="AD66" s="1095">
        <v>0</v>
      </c>
      <c r="AE66" s="1095">
        <v>0</v>
      </c>
      <c r="AF66" s="1095">
        <v>0</v>
      </c>
      <c r="AG66" s="1095">
        <v>0</v>
      </c>
      <c r="AH66" s="1095">
        <v>0</v>
      </c>
      <c r="AI66" s="1095">
        <v>0</v>
      </c>
      <c r="AJ66" s="1095">
        <v>0</v>
      </c>
      <c r="AK66" s="1095">
        <v>0</v>
      </c>
      <c r="AL66" s="1095">
        <v>0</v>
      </c>
      <c r="AM66" s="1095">
        <v>0</v>
      </c>
      <c r="AN66" s="1095">
        <v>0</v>
      </c>
      <c r="AO66" s="1095">
        <v>0</v>
      </c>
      <c r="AP66" s="1095">
        <v>0</v>
      </c>
      <c r="AQ66" s="1095">
        <v>0</v>
      </c>
      <c r="AR66" s="1095">
        <v>0</v>
      </c>
      <c r="AS66" s="1095">
        <v>0</v>
      </c>
      <c r="AT66" s="1095">
        <v>0</v>
      </c>
      <c r="AU66" s="1095">
        <v>0</v>
      </c>
    </row>
    <row r="67" spans="1:47" s="1077" customFormat="1" ht="25.5" x14ac:dyDescent="0.25">
      <c r="A67" s="99">
        <v>147</v>
      </c>
      <c r="B67" s="99"/>
      <c r="C67" s="1084">
        <v>147</v>
      </c>
      <c r="D67" s="1090" t="s">
        <v>307</v>
      </c>
      <c r="E67" s="1091">
        <v>0</v>
      </c>
      <c r="F67" s="1069" t="s">
        <v>1560</v>
      </c>
      <c r="G67" s="1069" t="s">
        <v>1560</v>
      </c>
      <c r="H67" s="1069" t="s">
        <v>1560</v>
      </c>
      <c r="I67" s="1069" t="s">
        <v>1560</v>
      </c>
      <c r="J67" s="1070" t="s">
        <v>1560</v>
      </c>
      <c r="K67" s="1082">
        <v>0</v>
      </c>
      <c r="L67" s="1079">
        <v>0</v>
      </c>
      <c r="M67" s="1094">
        <v>0</v>
      </c>
      <c r="N67" s="1094">
        <v>0</v>
      </c>
      <c r="O67" s="1094">
        <v>0</v>
      </c>
      <c r="P67" s="1094">
        <v>0</v>
      </c>
      <c r="Q67" s="1094">
        <v>0</v>
      </c>
      <c r="R67" s="1094">
        <v>0</v>
      </c>
      <c r="S67" s="1094">
        <v>0</v>
      </c>
      <c r="T67" s="1094">
        <v>0</v>
      </c>
      <c r="U67" s="1094">
        <v>0</v>
      </c>
      <c r="V67" s="1094">
        <v>0</v>
      </c>
      <c r="W67" s="1094">
        <v>0</v>
      </c>
      <c r="X67" s="1094">
        <v>0</v>
      </c>
      <c r="Y67" s="1094">
        <v>0</v>
      </c>
      <c r="Z67" s="1094">
        <v>0</v>
      </c>
      <c r="AA67" s="1095">
        <v>0</v>
      </c>
      <c r="AB67" s="1095">
        <v>0</v>
      </c>
      <c r="AC67" s="1095">
        <v>0</v>
      </c>
      <c r="AD67" s="1095">
        <v>0</v>
      </c>
      <c r="AE67" s="1095">
        <v>0</v>
      </c>
      <c r="AF67" s="1095">
        <v>0</v>
      </c>
      <c r="AG67" s="1095">
        <v>0</v>
      </c>
      <c r="AH67" s="1095">
        <v>0</v>
      </c>
      <c r="AI67" s="1095">
        <v>0</v>
      </c>
      <c r="AJ67" s="1095">
        <v>0</v>
      </c>
      <c r="AK67" s="1095">
        <v>0</v>
      </c>
      <c r="AL67" s="1095">
        <v>0</v>
      </c>
      <c r="AM67" s="1095">
        <v>0</v>
      </c>
      <c r="AN67" s="1095">
        <v>0</v>
      </c>
      <c r="AO67" s="1095">
        <v>0</v>
      </c>
      <c r="AP67" s="1095">
        <v>0</v>
      </c>
      <c r="AQ67" s="1095">
        <v>0</v>
      </c>
      <c r="AR67" s="1095">
        <v>0</v>
      </c>
      <c r="AS67" s="1095">
        <v>0</v>
      </c>
      <c r="AT67" s="1095">
        <v>0</v>
      </c>
      <c r="AU67" s="1095">
        <v>0</v>
      </c>
    </row>
    <row r="68" spans="1:47" s="1077" customFormat="1" ht="25.5" x14ac:dyDescent="0.25">
      <c r="A68" s="99">
        <v>148</v>
      </c>
      <c r="B68" s="99"/>
      <c r="C68" s="1084">
        <v>148</v>
      </c>
      <c r="D68" s="1090" t="s">
        <v>308</v>
      </c>
      <c r="E68" s="1091">
        <v>0</v>
      </c>
      <c r="F68" s="1069" t="s">
        <v>1560</v>
      </c>
      <c r="G68" s="1069" t="s">
        <v>1560</v>
      </c>
      <c r="H68" s="1069" t="s">
        <v>1560</v>
      </c>
      <c r="I68" s="1069" t="s">
        <v>1560</v>
      </c>
      <c r="J68" s="1070" t="s">
        <v>1560</v>
      </c>
      <c r="K68" s="1082">
        <v>0</v>
      </c>
      <c r="L68" s="1079">
        <v>0</v>
      </c>
      <c r="M68" s="1094">
        <v>0</v>
      </c>
      <c r="N68" s="1094">
        <v>0</v>
      </c>
      <c r="O68" s="1094">
        <v>0</v>
      </c>
      <c r="P68" s="1094">
        <v>0</v>
      </c>
      <c r="Q68" s="1094">
        <v>0</v>
      </c>
      <c r="R68" s="1094">
        <v>0</v>
      </c>
      <c r="S68" s="1094">
        <v>0</v>
      </c>
      <c r="T68" s="1094">
        <v>0</v>
      </c>
      <c r="U68" s="1094">
        <v>0</v>
      </c>
      <c r="V68" s="1094">
        <v>0</v>
      </c>
      <c r="W68" s="1094">
        <v>0</v>
      </c>
      <c r="X68" s="1094">
        <v>0</v>
      </c>
      <c r="Y68" s="1094">
        <v>0</v>
      </c>
      <c r="Z68" s="1094">
        <v>0</v>
      </c>
      <c r="AA68" s="1095">
        <v>0</v>
      </c>
      <c r="AB68" s="1095">
        <v>0</v>
      </c>
      <c r="AC68" s="1095">
        <v>0</v>
      </c>
      <c r="AD68" s="1095">
        <v>0</v>
      </c>
      <c r="AE68" s="1095">
        <v>0</v>
      </c>
      <c r="AF68" s="1095">
        <v>0</v>
      </c>
      <c r="AG68" s="1095">
        <v>0</v>
      </c>
      <c r="AH68" s="1095">
        <v>0</v>
      </c>
      <c r="AI68" s="1095">
        <v>0</v>
      </c>
      <c r="AJ68" s="1095">
        <v>0</v>
      </c>
      <c r="AK68" s="1095">
        <v>0</v>
      </c>
      <c r="AL68" s="1095">
        <v>0</v>
      </c>
      <c r="AM68" s="1095">
        <v>0</v>
      </c>
      <c r="AN68" s="1095">
        <v>0</v>
      </c>
      <c r="AO68" s="1095">
        <v>0</v>
      </c>
      <c r="AP68" s="1095">
        <v>0</v>
      </c>
      <c r="AQ68" s="1095">
        <v>0</v>
      </c>
      <c r="AR68" s="1095">
        <v>0</v>
      </c>
      <c r="AS68" s="1095">
        <v>0</v>
      </c>
      <c r="AT68" s="1095">
        <v>0</v>
      </c>
      <c r="AU68" s="1095">
        <v>0</v>
      </c>
    </row>
    <row r="69" spans="1:47" s="1077" customFormat="1" ht="25.5" x14ac:dyDescent="0.25">
      <c r="A69" s="99">
        <v>149</v>
      </c>
      <c r="B69" s="99"/>
      <c r="C69" s="1084">
        <v>149</v>
      </c>
      <c r="D69" s="1090" t="s">
        <v>309</v>
      </c>
      <c r="E69" s="1091">
        <v>0</v>
      </c>
      <c r="F69" s="1069" t="s">
        <v>1560</v>
      </c>
      <c r="G69" s="1069" t="s">
        <v>1560</v>
      </c>
      <c r="H69" s="1069" t="s">
        <v>1560</v>
      </c>
      <c r="I69" s="1069" t="s">
        <v>1560</v>
      </c>
      <c r="J69" s="1070" t="s">
        <v>1560</v>
      </c>
      <c r="K69" s="1082">
        <v>0</v>
      </c>
      <c r="L69" s="1079">
        <v>0</v>
      </c>
      <c r="M69" s="1094">
        <v>0</v>
      </c>
      <c r="N69" s="1094">
        <v>0</v>
      </c>
      <c r="O69" s="1094">
        <v>0</v>
      </c>
      <c r="P69" s="1094">
        <v>0</v>
      </c>
      <c r="Q69" s="1094">
        <v>0</v>
      </c>
      <c r="R69" s="1094">
        <v>0</v>
      </c>
      <c r="S69" s="1094">
        <v>0</v>
      </c>
      <c r="T69" s="1094">
        <v>0</v>
      </c>
      <c r="U69" s="1094">
        <v>0</v>
      </c>
      <c r="V69" s="1094">
        <v>0</v>
      </c>
      <c r="W69" s="1094">
        <v>0</v>
      </c>
      <c r="X69" s="1094">
        <v>0</v>
      </c>
      <c r="Y69" s="1094">
        <v>0</v>
      </c>
      <c r="Z69" s="1094">
        <v>0</v>
      </c>
      <c r="AA69" s="1095">
        <v>0</v>
      </c>
      <c r="AB69" s="1095">
        <v>0</v>
      </c>
      <c r="AC69" s="1095">
        <v>0</v>
      </c>
      <c r="AD69" s="1095">
        <v>0</v>
      </c>
      <c r="AE69" s="1095">
        <v>0</v>
      </c>
      <c r="AF69" s="1095">
        <v>0</v>
      </c>
      <c r="AG69" s="1095">
        <v>0</v>
      </c>
      <c r="AH69" s="1095">
        <v>0</v>
      </c>
      <c r="AI69" s="1095">
        <v>0</v>
      </c>
      <c r="AJ69" s="1095">
        <v>0</v>
      </c>
      <c r="AK69" s="1095">
        <v>0</v>
      </c>
      <c r="AL69" s="1095">
        <v>0</v>
      </c>
      <c r="AM69" s="1095">
        <v>0</v>
      </c>
      <c r="AN69" s="1095">
        <v>0</v>
      </c>
      <c r="AO69" s="1095">
        <v>0</v>
      </c>
      <c r="AP69" s="1095">
        <v>0</v>
      </c>
      <c r="AQ69" s="1095">
        <v>0</v>
      </c>
      <c r="AR69" s="1095">
        <v>0</v>
      </c>
      <c r="AS69" s="1095">
        <v>0</v>
      </c>
      <c r="AT69" s="1095">
        <v>0</v>
      </c>
      <c r="AU69" s="1095">
        <v>0</v>
      </c>
    </row>
    <row r="70" spans="1:47" s="1077" customFormat="1" ht="25.5" x14ac:dyDescent="0.25">
      <c r="A70" s="99">
        <v>150</v>
      </c>
      <c r="B70" s="99"/>
      <c r="C70" s="1084">
        <v>150</v>
      </c>
      <c r="D70" s="1090" t="s">
        <v>310</v>
      </c>
      <c r="E70" s="1091">
        <v>0</v>
      </c>
      <c r="F70" s="1069" t="s">
        <v>1560</v>
      </c>
      <c r="G70" s="1069" t="s">
        <v>1560</v>
      </c>
      <c r="H70" s="1069" t="s">
        <v>1560</v>
      </c>
      <c r="I70" s="1069" t="s">
        <v>1560</v>
      </c>
      <c r="J70" s="1070" t="s">
        <v>1560</v>
      </c>
      <c r="K70" s="1082">
        <v>0</v>
      </c>
      <c r="L70" s="1079">
        <v>0</v>
      </c>
      <c r="M70" s="1094">
        <v>0</v>
      </c>
      <c r="N70" s="1094">
        <v>0</v>
      </c>
      <c r="O70" s="1094">
        <v>0</v>
      </c>
      <c r="P70" s="1094">
        <v>0</v>
      </c>
      <c r="Q70" s="1094">
        <v>0</v>
      </c>
      <c r="R70" s="1094">
        <v>0</v>
      </c>
      <c r="S70" s="1094">
        <v>0</v>
      </c>
      <c r="T70" s="1094">
        <v>0</v>
      </c>
      <c r="U70" s="1094">
        <v>0</v>
      </c>
      <c r="V70" s="1094">
        <v>0</v>
      </c>
      <c r="W70" s="1094">
        <v>0</v>
      </c>
      <c r="X70" s="1094">
        <v>0</v>
      </c>
      <c r="Y70" s="1094">
        <v>0</v>
      </c>
      <c r="Z70" s="1094">
        <v>0</v>
      </c>
      <c r="AA70" s="1095">
        <v>0</v>
      </c>
      <c r="AB70" s="1095">
        <v>0</v>
      </c>
      <c r="AC70" s="1095">
        <v>0</v>
      </c>
      <c r="AD70" s="1095">
        <v>0</v>
      </c>
      <c r="AE70" s="1095">
        <v>0</v>
      </c>
      <c r="AF70" s="1095">
        <v>0</v>
      </c>
      <c r="AG70" s="1095">
        <v>0</v>
      </c>
      <c r="AH70" s="1095">
        <v>0</v>
      </c>
      <c r="AI70" s="1095">
        <v>0</v>
      </c>
      <c r="AJ70" s="1095">
        <v>0</v>
      </c>
      <c r="AK70" s="1095">
        <v>0</v>
      </c>
      <c r="AL70" s="1095">
        <v>0</v>
      </c>
      <c r="AM70" s="1095">
        <v>0</v>
      </c>
      <c r="AN70" s="1095">
        <v>0</v>
      </c>
      <c r="AO70" s="1095">
        <v>0</v>
      </c>
      <c r="AP70" s="1095">
        <v>0</v>
      </c>
      <c r="AQ70" s="1095">
        <v>0</v>
      </c>
      <c r="AR70" s="1095">
        <v>0</v>
      </c>
      <c r="AS70" s="1095">
        <v>0</v>
      </c>
      <c r="AT70" s="1095">
        <v>0</v>
      </c>
      <c r="AU70" s="1095">
        <v>0</v>
      </c>
    </row>
    <row r="71" spans="1:47" s="1077" customFormat="1" x14ac:dyDescent="0.25">
      <c r="A71" s="99">
        <v>171</v>
      </c>
      <c r="B71" s="99"/>
      <c r="C71" s="1084">
        <v>171</v>
      </c>
      <c r="D71" s="1085" t="e">
        <v>#VALUE!</v>
      </c>
      <c r="E71" s="1091">
        <v>0</v>
      </c>
      <c r="F71" s="1069" t="s">
        <v>1560</v>
      </c>
      <c r="G71" s="1069" t="s">
        <v>1560</v>
      </c>
      <c r="H71" s="1069" t="s">
        <v>1560</v>
      </c>
      <c r="I71" s="1069" t="s">
        <v>1560</v>
      </c>
      <c r="J71" s="1070" t="s">
        <v>1560</v>
      </c>
      <c r="K71" s="1082">
        <v>0</v>
      </c>
      <c r="L71" s="1079">
        <v>0</v>
      </c>
      <c r="M71" s="1094">
        <v>0</v>
      </c>
      <c r="N71" s="1094">
        <v>0</v>
      </c>
      <c r="O71" s="1094">
        <v>0</v>
      </c>
      <c r="P71" s="1094">
        <v>0</v>
      </c>
      <c r="Q71" s="1094">
        <v>0</v>
      </c>
      <c r="R71" s="1094">
        <v>0</v>
      </c>
      <c r="S71" s="1094">
        <v>0</v>
      </c>
      <c r="T71" s="1094">
        <v>0</v>
      </c>
      <c r="U71" s="1094">
        <v>0</v>
      </c>
      <c r="V71" s="1094">
        <v>0</v>
      </c>
      <c r="W71" s="1094">
        <v>0</v>
      </c>
      <c r="X71" s="1094">
        <v>0</v>
      </c>
      <c r="Y71" s="1094">
        <v>0</v>
      </c>
      <c r="Z71" s="1094">
        <v>0</v>
      </c>
      <c r="AA71" s="1095">
        <v>0</v>
      </c>
      <c r="AB71" s="1095">
        <v>0</v>
      </c>
      <c r="AC71" s="1095">
        <v>0</v>
      </c>
      <c r="AD71" s="1095">
        <v>0</v>
      </c>
      <c r="AE71" s="1095">
        <v>0</v>
      </c>
      <c r="AF71" s="1095">
        <v>0</v>
      </c>
      <c r="AG71" s="1095">
        <v>0</v>
      </c>
      <c r="AH71" s="1095">
        <v>0</v>
      </c>
      <c r="AI71" s="1095">
        <v>0</v>
      </c>
      <c r="AJ71" s="1095">
        <v>0</v>
      </c>
      <c r="AK71" s="1095">
        <v>0</v>
      </c>
      <c r="AL71" s="1095">
        <v>0</v>
      </c>
      <c r="AM71" s="1095">
        <v>0</v>
      </c>
      <c r="AN71" s="1095">
        <v>0</v>
      </c>
      <c r="AO71" s="1095">
        <v>0</v>
      </c>
      <c r="AP71" s="1095">
        <v>0</v>
      </c>
      <c r="AQ71" s="1095">
        <v>0</v>
      </c>
      <c r="AR71" s="1095">
        <v>0</v>
      </c>
      <c r="AS71" s="1095">
        <v>0</v>
      </c>
      <c r="AT71" s="1095">
        <v>0</v>
      </c>
      <c r="AU71" s="1095">
        <v>0</v>
      </c>
    </row>
    <row r="72" spans="1:47" s="1077" customFormat="1" ht="30" x14ac:dyDescent="0.25">
      <c r="A72" s="99">
        <v>191</v>
      </c>
      <c r="B72" s="99"/>
      <c r="C72" s="1084">
        <v>191</v>
      </c>
      <c r="D72" s="1085" t="s">
        <v>1479</v>
      </c>
      <c r="E72" s="1091">
        <v>0</v>
      </c>
      <c r="F72" s="1069" t="s">
        <v>1560</v>
      </c>
      <c r="G72" s="1069" t="s">
        <v>1560</v>
      </c>
      <c r="H72" s="1069" t="s">
        <v>1560</v>
      </c>
      <c r="I72" s="1069" t="s">
        <v>1560</v>
      </c>
      <c r="J72" s="1070" t="s">
        <v>1560</v>
      </c>
      <c r="K72" s="1082">
        <v>0</v>
      </c>
      <c r="L72" s="1079">
        <v>0</v>
      </c>
      <c r="M72" s="1094">
        <v>0</v>
      </c>
      <c r="N72" s="1094">
        <v>0</v>
      </c>
      <c r="O72" s="1094">
        <v>0</v>
      </c>
      <c r="P72" s="1094">
        <v>0</v>
      </c>
      <c r="Q72" s="1094">
        <v>0</v>
      </c>
      <c r="R72" s="1094">
        <v>0</v>
      </c>
      <c r="S72" s="1094">
        <v>0</v>
      </c>
      <c r="T72" s="1094">
        <v>0</v>
      </c>
      <c r="U72" s="1094">
        <v>0</v>
      </c>
      <c r="V72" s="1094">
        <v>0</v>
      </c>
      <c r="W72" s="1094">
        <v>0</v>
      </c>
      <c r="X72" s="1094">
        <v>0</v>
      </c>
      <c r="Y72" s="1094">
        <v>0</v>
      </c>
      <c r="Z72" s="1094">
        <v>0</v>
      </c>
      <c r="AA72" s="1095">
        <v>0</v>
      </c>
      <c r="AB72" s="1095">
        <v>0</v>
      </c>
      <c r="AC72" s="1095">
        <v>0</v>
      </c>
      <c r="AD72" s="1095">
        <v>0</v>
      </c>
      <c r="AE72" s="1095">
        <v>0</v>
      </c>
      <c r="AF72" s="1095">
        <v>0</v>
      </c>
      <c r="AG72" s="1095">
        <v>0</v>
      </c>
      <c r="AH72" s="1095">
        <v>0</v>
      </c>
      <c r="AI72" s="1095">
        <v>0</v>
      </c>
      <c r="AJ72" s="1095">
        <v>0</v>
      </c>
      <c r="AK72" s="1095">
        <v>0</v>
      </c>
      <c r="AL72" s="1095">
        <v>0</v>
      </c>
      <c r="AM72" s="1095">
        <v>0</v>
      </c>
      <c r="AN72" s="1095">
        <v>0</v>
      </c>
      <c r="AO72" s="1095">
        <v>0</v>
      </c>
      <c r="AP72" s="1095">
        <v>0</v>
      </c>
      <c r="AQ72" s="1095">
        <v>0</v>
      </c>
      <c r="AR72" s="1095">
        <v>0</v>
      </c>
      <c r="AS72" s="1095">
        <v>0</v>
      </c>
      <c r="AT72" s="1095">
        <v>0</v>
      </c>
      <c r="AU72" s="1095">
        <v>0</v>
      </c>
    </row>
    <row r="73" spans="1:47" s="1077" customFormat="1" ht="30" x14ac:dyDescent="0.25">
      <c r="A73" s="99">
        <v>192</v>
      </c>
      <c r="B73" s="99"/>
      <c r="C73" s="1084">
        <v>192</v>
      </c>
      <c r="D73" s="1085" t="s">
        <v>1480</v>
      </c>
      <c r="E73" s="1091">
        <v>0</v>
      </c>
      <c r="F73" s="1069" t="s">
        <v>1560</v>
      </c>
      <c r="G73" s="1069" t="s">
        <v>1560</v>
      </c>
      <c r="H73" s="1069" t="s">
        <v>1560</v>
      </c>
      <c r="I73" s="1069" t="s">
        <v>1560</v>
      </c>
      <c r="J73" s="1070" t="s">
        <v>1560</v>
      </c>
      <c r="K73" s="1082">
        <v>0</v>
      </c>
      <c r="L73" s="1079">
        <v>0</v>
      </c>
      <c r="M73" s="1094">
        <v>0</v>
      </c>
      <c r="N73" s="1094">
        <v>0</v>
      </c>
      <c r="O73" s="1094">
        <v>0</v>
      </c>
      <c r="P73" s="1094">
        <v>0</v>
      </c>
      <c r="Q73" s="1094">
        <v>0</v>
      </c>
      <c r="R73" s="1094">
        <v>0</v>
      </c>
      <c r="S73" s="1094">
        <v>0</v>
      </c>
      <c r="T73" s="1094">
        <v>0</v>
      </c>
      <c r="U73" s="1094">
        <v>0</v>
      </c>
      <c r="V73" s="1094">
        <v>0</v>
      </c>
      <c r="W73" s="1094">
        <v>0</v>
      </c>
      <c r="X73" s="1094">
        <v>0</v>
      </c>
      <c r="Y73" s="1094">
        <v>0</v>
      </c>
      <c r="Z73" s="1094">
        <v>0</v>
      </c>
      <c r="AA73" s="1095">
        <v>0</v>
      </c>
      <c r="AB73" s="1095">
        <v>0</v>
      </c>
      <c r="AC73" s="1095">
        <v>0</v>
      </c>
      <c r="AD73" s="1095">
        <v>0</v>
      </c>
      <c r="AE73" s="1095">
        <v>0</v>
      </c>
      <c r="AF73" s="1095">
        <v>0</v>
      </c>
      <c r="AG73" s="1095">
        <v>0</v>
      </c>
      <c r="AH73" s="1095">
        <v>0</v>
      </c>
      <c r="AI73" s="1095">
        <v>0</v>
      </c>
      <c r="AJ73" s="1095">
        <v>0</v>
      </c>
      <c r="AK73" s="1095">
        <v>0</v>
      </c>
      <c r="AL73" s="1095">
        <v>0</v>
      </c>
      <c r="AM73" s="1095">
        <v>0</v>
      </c>
      <c r="AN73" s="1095">
        <v>0</v>
      </c>
      <c r="AO73" s="1095">
        <v>0</v>
      </c>
      <c r="AP73" s="1095">
        <v>0</v>
      </c>
      <c r="AQ73" s="1095">
        <v>0</v>
      </c>
      <c r="AR73" s="1095">
        <v>0</v>
      </c>
      <c r="AS73" s="1095">
        <v>0</v>
      </c>
      <c r="AT73" s="1095">
        <v>0</v>
      </c>
      <c r="AU73" s="1095">
        <v>0</v>
      </c>
    </row>
    <row r="74" spans="1:47" s="1077" customFormat="1" ht="30" x14ac:dyDescent="0.25">
      <c r="A74" s="99">
        <v>193</v>
      </c>
      <c r="B74" s="1088">
        <v>193</v>
      </c>
      <c r="C74" s="1084">
        <v>193</v>
      </c>
      <c r="D74" s="1089" t="s">
        <v>311</v>
      </c>
      <c r="E74" s="1091">
        <v>254247</v>
      </c>
      <c r="F74" s="1069" t="s">
        <v>1560</v>
      </c>
      <c r="G74" s="1069" t="s">
        <v>1560</v>
      </c>
      <c r="H74" s="1069">
        <v>53018</v>
      </c>
      <c r="I74" s="1069" t="s">
        <v>1560</v>
      </c>
      <c r="J74" s="1070" t="s">
        <v>1560</v>
      </c>
      <c r="K74" s="1082">
        <v>0</v>
      </c>
      <c r="L74" s="1079">
        <v>0</v>
      </c>
      <c r="M74" s="1094">
        <v>7649035</v>
      </c>
      <c r="N74" s="1094">
        <v>5500000</v>
      </c>
      <c r="O74" s="1094">
        <v>187596</v>
      </c>
      <c r="P74" s="1094">
        <v>0</v>
      </c>
      <c r="Q74" s="1094">
        <v>0</v>
      </c>
      <c r="R74" s="1094">
        <v>0</v>
      </c>
      <c r="S74" s="1094">
        <v>0</v>
      </c>
      <c r="T74" s="1094">
        <v>0</v>
      </c>
      <c r="U74" s="1094">
        <v>0</v>
      </c>
      <c r="V74" s="1094">
        <v>0</v>
      </c>
      <c r="W74" s="1094">
        <v>393566</v>
      </c>
      <c r="X74" s="1094">
        <v>0</v>
      </c>
      <c r="Y74" s="1094">
        <v>216361</v>
      </c>
      <c r="Z74" s="1094">
        <v>0</v>
      </c>
      <c r="AA74" s="1095">
        <v>0</v>
      </c>
      <c r="AB74" s="1095">
        <v>0</v>
      </c>
      <c r="AC74" s="1095">
        <v>0</v>
      </c>
      <c r="AD74" s="1095">
        <v>0</v>
      </c>
      <c r="AE74" s="1095">
        <v>0</v>
      </c>
      <c r="AF74" s="1095">
        <v>0</v>
      </c>
      <c r="AG74" s="1095">
        <v>5567430</v>
      </c>
      <c r="AH74" s="1095">
        <v>0</v>
      </c>
      <c r="AI74" s="1095">
        <v>0</v>
      </c>
      <c r="AJ74" s="1095">
        <v>0</v>
      </c>
      <c r="AK74" s="1095">
        <v>0</v>
      </c>
      <c r="AL74" s="1095">
        <v>27682</v>
      </c>
      <c r="AM74" s="1095">
        <v>0</v>
      </c>
      <c r="AN74" s="1095">
        <v>0</v>
      </c>
      <c r="AO74" s="1095">
        <v>0</v>
      </c>
      <c r="AP74" s="1095">
        <v>0</v>
      </c>
      <c r="AQ74" s="1095">
        <v>0</v>
      </c>
      <c r="AR74" s="1095">
        <v>0</v>
      </c>
      <c r="AS74" s="1095">
        <v>228350</v>
      </c>
      <c r="AT74" s="1095">
        <v>229348</v>
      </c>
      <c r="AU74" s="1095">
        <v>0</v>
      </c>
    </row>
    <row r="75" spans="1:47" s="1077" customFormat="1" ht="25.5" x14ac:dyDescent="0.25">
      <c r="A75" s="99">
        <v>194</v>
      </c>
      <c r="B75" s="99"/>
      <c r="C75" s="1084">
        <v>194</v>
      </c>
      <c r="D75" s="1090" t="s">
        <v>312</v>
      </c>
      <c r="E75" s="1091">
        <v>0</v>
      </c>
      <c r="F75" s="1069" t="s">
        <v>1560</v>
      </c>
      <c r="G75" s="1069" t="s">
        <v>1560</v>
      </c>
      <c r="H75" s="1069" t="s">
        <v>1560</v>
      </c>
      <c r="I75" s="1069" t="s">
        <v>1560</v>
      </c>
      <c r="J75" s="1070" t="s">
        <v>1560</v>
      </c>
      <c r="K75" s="1082">
        <v>0</v>
      </c>
      <c r="L75" s="1079">
        <v>0</v>
      </c>
      <c r="M75" s="1094">
        <v>0</v>
      </c>
      <c r="N75" s="1094">
        <v>0</v>
      </c>
      <c r="O75" s="1094">
        <v>0</v>
      </c>
      <c r="P75" s="1094">
        <v>0</v>
      </c>
      <c r="Q75" s="1094">
        <v>0</v>
      </c>
      <c r="R75" s="1094">
        <v>0</v>
      </c>
      <c r="S75" s="1094">
        <v>0</v>
      </c>
      <c r="T75" s="1094">
        <v>0</v>
      </c>
      <c r="U75" s="1094">
        <v>0</v>
      </c>
      <c r="V75" s="1094">
        <v>0</v>
      </c>
      <c r="W75" s="1094">
        <v>0</v>
      </c>
      <c r="X75" s="1094">
        <v>0</v>
      </c>
      <c r="Y75" s="1094">
        <v>0</v>
      </c>
      <c r="Z75" s="1094">
        <v>0</v>
      </c>
      <c r="AA75" s="1095">
        <v>0</v>
      </c>
      <c r="AB75" s="1095">
        <v>0</v>
      </c>
      <c r="AC75" s="1095">
        <v>0</v>
      </c>
      <c r="AD75" s="1095">
        <v>0</v>
      </c>
      <c r="AE75" s="1095">
        <v>0</v>
      </c>
      <c r="AF75" s="1095">
        <v>0</v>
      </c>
      <c r="AG75" s="1095">
        <v>0</v>
      </c>
      <c r="AH75" s="1095">
        <v>0</v>
      </c>
      <c r="AI75" s="1095">
        <v>0</v>
      </c>
      <c r="AJ75" s="1095">
        <v>0</v>
      </c>
      <c r="AK75" s="1095">
        <v>0</v>
      </c>
      <c r="AL75" s="1095">
        <v>0</v>
      </c>
      <c r="AM75" s="1095">
        <v>0</v>
      </c>
      <c r="AN75" s="1095">
        <v>0</v>
      </c>
      <c r="AO75" s="1095">
        <v>0</v>
      </c>
      <c r="AP75" s="1095">
        <v>0</v>
      </c>
      <c r="AQ75" s="1095">
        <v>0</v>
      </c>
      <c r="AR75" s="1095">
        <v>0</v>
      </c>
      <c r="AS75" s="1095">
        <v>0</v>
      </c>
      <c r="AT75" s="1095">
        <v>0</v>
      </c>
      <c r="AU75" s="1095">
        <v>0</v>
      </c>
    </row>
    <row r="76" spans="1:47" s="1077" customFormat="1" ht="30" x14ac:dyDescent="0.25">
      <c r="A76" s="99">
        <v>231</v>
      </c>
      <c r="B76" s="99"/>
      <c r="C76" s="1084">
        <v>231</v>
      </c>
      <c r="D76" s="1085" t="s">
        <v>313</v>
      </c>
      <c r="E76" s="1091">
        <v>0</v>
      </c>
      <c r="F76" s="1069" t="s">
        <v>1560</v>
      </c>
      <c r="G76" s="1069" t="s">
        <v>1560</v>
      </c>
      <c r="H76" s="1069" t="s">
        <v>1560</v>
      </c>
      <c r="I76" s="1069" t="s">
        <v>1560</v>
      </c>
      <c r="J76" s="1070" t="s">
        <v>1560</v>
      </c>
      <c r="K76" s="1082">
        <v>0</v>
      </c>
      <c r="L76" s="1079">
        <v>0</v>
      </c>
      <c r="M76" s="1094">
        <v>0</v>
      </c>
      <c r="N76" s="1094">
        <v>0</v>
      </c>
      <c r="O76" s="1094">
        <v>0</v>
      </c>
      <c r="P76" s="1094">
        <v>0</v>
      </c>
      <c r="Q76" s="1094">
        <v>0</v>
      </c>
      <c r="R76" s="1094">
        <v>0</v>
      </c>
      <c r="S76" s="1094">
        <v>0</v>
      </c>
      <c r="T76" s="1094">
        <v>0</v>
      </c>
      <c r="U76" s="1094">
        <v>0</v>
      </c>
      <c r="V76" s="1094">
        <v>0</v>
      </c>
      <c r="W76" s="1094">
        <v>0</v>
      </c>
      <c r="X76" s="1094">
        <v>0</v>
      </c>
      <c r="Y76" s="1094">
        <v>0</v>
      </c>
      <c r="Z76" s="1094">
        <v>0</v>
      </c>
      <c r="AA76" s="1095">
        <v>0</v>
      </c>
      <c r="AB76" s="1095">
        <v>0</v>
      </c>
      <c r="AC76" s="1095">
        <v>0</v>
      </c>
      <c r="AD76" s="1095">
        <v>0</v>
      </c>
      <c r="AE76" s="1095">
        <v>0</v>
      </c>
      <c r="AF76" s="1095">
        <v>0</v>
      </c>
      <c r="AG76" s="1095">
        <v>0</v>
      </c>
      <c r="AH76" s="1095">
        <v>0</v>
      </c>
      <c r="AI76" s="1095">
        <v>0</v>
      </c>
      <c r="AJ76" s="1095">
        <v>0</v>
      </c>
      <c r="AK76" s="1095">
        <v>0</v>
      </c>
      <c r="AL76" s="1095">
        <v>0</v>
      </c>
      <c r="AM76" s="1095">
        <v>0</v>
      </c>
      <c r="AN76" s="1095">
        <v>0</v>
      </c>
      <c r="AO76" s="1095">
        <v>0</v>
      </c>
      <c r="AP76" s="1095">
        <v>0</v>
      </c>
      <c r="AQ76" s="1095">
        <v>0</v>
      </c>
      <c r="AR76" s="1095">
        <v>0</v>
      </c>
      <c r="AS76" s="1095">
        <v>0</v>
      </c>
      <c r="AT76" s="1095">
        <v>0</v>
      </c>
      <c r="AU76" s="1095">
        <v>0</v>
      </c>
    </row>
    <row r="77" spans="1:47" s="1077" customFormat="1" ht="45" x14ac:dyDescent="0.25">
      <c r="A77" s="99">
        <v>251</v>
      </c>
      <c r="B77" s="99"/>
      <c r="C77" s="1084">
        <v>251</v>
      </c>
      <c r="D77" s="1085" t="s">
        <v>314</v>
      </c>
      <c r="E77" s="1091">
        <v>0</v>
      </c>
      <c r="F77" s="1069" t="s">
        <v>1560</v>
      </c>
      <c r="G77" s="1069" t="s">
        <v>1560</v>
      </c>
      <c r="H77" s="1069" t="s">
        <v>1560</v>
      </c>
      <c r="I77" s="1069" t="s">
        <v>1560</v>
      </c>
      <c r="J77" s="1070" t="s">
        <v>1560</v>
      </c>
      <c r="K77" s="1082">
        <v>0</v>
      </c>
      <c r="L77" s="1079">
        <v>0</v>
      </c>
      <c r="M77" s="1094">
        <v>0</v>
      </c>
      <c r="N77" s="1094">
        <v>0</v>
      </c>
      <c r="O77" s="1094">
        <v>0</v>
      </c>
      <c r="P77" s="1094">
        <v>0</v>
      </c>
      <c r="Q77" s="1094">
        <v>0</v>
      </c>
      <c r="R77" s="1094">
        <v>0</v>
      </c>
      <c r="S77" s="1094">
        <v>0</v>
      </c>
      <c r="T77" s="1094">
        <v>0</v>
      </c>
      <c r="U77" s="1094">
        <v>0</v>
      </c>
      <c r="V77" s="1094">
        <v>0</v>
      </c>
      <c r="W77" s="1094">
        <v>0</v>
      </c>
      <c r="X77" s="1094">
        <v>0</v>
      </c>
      <c r="Y77" s="1094">
        <v>0</v>
      </c>
      <c r="Z77" s="1094">
        <v>0</v>
      </c>
      <c r="AA77" s="1095">
        <v>0</v>
      </c>
      <c r="AB77" s="1095">
        <v>0</v>
      </c>
      <c r="AC77" s="1095">
        <v>0</v>
      </c>
      <c r="AD77" s="1095">
        <v>0</v>
      </c>
      <c r="AE77" s="1095">
        <v>0</v>
      </c>
      <c r="AF77" s="1095">
        <v>0</v>
      </c>
      <c r="AG77" s="1095">
        <v>0</v>
      </c>
      <c r="AH77" s="1095">
        <v>0</v>
      </c>
      <c r="AI77" s="1095">
        <v>0</v>
      </c>
      <c r="AJ77" s="1095">
        <v>0</v>
      </c>
      <c r="AK77" s="1095">
        <v>0</v>
      </c>
      <c r="AL77" s="1095">
        <v>0</v>
      </c>
      <c r="AM77" s="1095">
        <v>0</v>
      </c>
      <c r="AN77" s="1095">
        <v>0</v>
      </c>
      <c r="AO77" s="1095">
        <v>0</v>
      </c>
      <c r="AP77" s="1095">
        <v>0</v>
      </c>
      <c r="AQ77" s="1095">
        <v>0</v>
      </c>
      <c r="AR77" s="1095">
        <v>0</v>
      </c>
      <c r="AS77" s="1095">
        <v>0</v>
      </c>
      <c r="AT77" s="1095">
        <v>0</v>
      </c>
      <c r="AU77" s="1095">
        <v>0</v>
      </c>
    </row>
    <row r="78" spans="1:47" s="1077" customFormat="1" ht="30" x14ac:dyDescent="0.25">
      <c r="A78" s="99">
        <v>252</v>
      </c>
      <c r="B78" s="1088">
        <v>252</v>
      </c>
      <c r="C78" s="1084">
        <v>252</v>
      </c>
      <c r="D78" s="1085" t="s">
        <v>103</v>
      </c>
      <c r="E78" s="1091">
        <v>0</v>
      </c>
      <c r="F78" s="1069" t="s">
        <v>1560</v>
      </c>
      <c r="G78" s="1069">
        <v>796</v>
      </c>
      <c r="H78" s="1069" t="s">
        <v>1560</v>
      </c>
      <c r="I78" s="1069" t="s">
        <v>1560</v>
      </c>
      <c r="J78" s="1070">
        <v>663474</v>
      </c>
      <c r="K78" s="1082">
        <v>326363</v>
      </c>
      <c r="L78" s="1079">
        <v>0</v>
      </c>
      <c r="M78" s="1094">
        <v>0</v>
      </c>
      <c r="N78" s="1094">
        <v>0</v>
      </c>
      <c r="O78" s="1094">
        <v>0</v>
      </c>
      <c r="P78" s="1094">
        <v>0</v>
      </c>
      <c r="Q78" s="1094">
        <v>0</v>
      </c>
      <c r="R78" s="1094">
        <v>0</v>
      </c>
      <c r="S78" s="1094">
        <v>0</v>
      </c>
      <c r="T78" s="1094">
        <v>0</v>
      </c>
      <c r="U78" s="1094">
        <v>0</v>
      </c>
      <c r="V78" s="1094">
        <v>0</v>
      </c>
      <c r="W78" s="1094">
        <v>0</v>
      </c>
      <c r="X78" s="1094">
        <v>855</v>
      </c>
      <c r="Y78" s="1094">
        <v>0</v>
      </c>
      <c r="Z78" s="1094">
        <v>51105</v>
      </c>
      <c r="AA78" s="1095">
        <v>1594699</v>
      </c>
      <c r="AB78" s="1095">
        <v>0</v>
      </c>
      <c r="AC78" s="1095">
        <v>43613</v>
      </c>
      <c r="AD78" s="1095">
        <v>0</v>
      </c>
      <c r="AE78" s="1095">
        <v>52984</v>
      </c>
      <c r="AF78" s="1095">
        <v>8905526</v>
      </c>
      <c r="AG78" s="1095">
        <v>0</v>
      </c>
      <c r="AH78" s="1095">
        <v>0</v>
      </c>
      <c r="AI78" s="1095">
        <v>0</v>
      </c>
      <c r="AJ78" s="1095">
        <v>23688529</v>
      </c>
      <c r="AK78" s="1095">
        <v>0</v>
      </c>
      <c r="AL78" s="1095">
        <v>65446002</v>
      </c>
      <c r="AM78" s="1095">
        <v>1432100</v>
      </c>
      <c r="AN78" s="1095">
        <v>586564</v>
      </c>
      <c r="AO78" s="1095">
        <v>75548</v>
      </c>
      <c r="AP78" s="1095">
        <v>2753</v>
      </c>
      <c r="AQ78" s="1095">
        <v>119498</v>
      </c>
      <c r="AR78" s="1095">
        <v>1317572</v>
      </c>
      <c r="AS78" s="1095">
        <v>0</v>
      </c>
      <c r="AT78" s="1095">
        <v>0</v>
      </c>
      <c r="AU78" s="1095">
        <v>0</v>
      </c>
    </row>
    <row r="79" spans="1:47" s="1077" customFormat="1" x14ac:dyDescent="0.25">
      <c r="A79" s="99">
        <v>253</v>
      </c>
      <c r="B79" s="1088">
        <v>253</v>
      </c>
      <c r="C79" s="1084">
        <v>253</v>
      </c>
      <c r="D79" s="1085" t="s">
        <v>104</v>
      </c>
      <c r="E79" s="1091">
        <v>0</v>
      </c>
      <c r="F79" s="1069" t="s">
        <v>1560</v>
      </c>
      <c r="G79" s="1069">
        <v>578837</v>
      </c>
      <c r="H79" s="1069" t="s">
        <v>1560</v>
      </c>
      <c r="I79" s="1069" t="s">
        <v>1560</v>
      </c>
      <c r="J79" s="1070">
        <v>1199</v>
      </c>
      <c r="K79" s="1082">
        <v>60913</v>
      </c>
      <c r="L79" s="1079">
        <v>0</v>
      </c>
      <c r="M79" s="1094">
        <v>0</v>
      </c>
      <c r="N79" s="1094">
        <v>0</v>
      </c>
      <c r="O79" s="1094">
        <v>0</v>
      </c>
      <c r="P79" s="1094">
        <v>0</v>
      </c>
      <c r="Q79" s="1094">
        <v>0</v>
      </c>
      <c r="R79" s="1094">
        <v>0</v>
      </c>
      <c r="S79" s="1094">
        <v>0</v>
      </c>
      <c r="T79" s="1094">
        <v>0</v>
      </c>
      <c r="U79" s="1094">
        <v>204</v>
      </c>
      <c r="V79" s="1094">
        <v>329238</v>
      </c>
      <c r="W79" s="1094">
        <v>0</v>
      </c>
      <c r="X79" s="1094">
        <v>0</v>
      </c>
      <c r="Y79" s="1094">
        <v>0</v>
      </c>
      <c r="Z79" s="1094">
        <v>36685</v>
      </c>
      <c r="AA79" s="1095">
        <v>187250</v>
      </c>
      <c r="AB79" s="1095">
        <v>0</v>
      </c>
      <c r="AC79" s="1095">
        <v>0</v>
      </c>
      <c r="AD79" s="1095">
        <v>10</v>
      </c>
      <c r="AE79" s="1095">
        <v>1893</v>
      </c>
      <c r="AF79" s="1095">
        <v>7808333</v>
      </c>
      <c r="AG79" s="1095">
        <v>0</v>
      </c>
      <c r="AH79" s="1095">
        <v>79</v>
      </c>
      <c r="AI79" s="1095">
        <v>0</v>
      </c>
      <c r="AJ79" s="1095">
        <v>2586891</v>
      </c>
      <c r="AK79" s="1095">
        <v>1760350</v>
      </c>
      <c r="AL79" s="1095">
        <v>406217942</v>
      </c>
      <c r="AM79" s="1095">
        <v>3630</v>
      </c>
      <c r="AN79" s="1095">
        <v>18361</v>
      </c>
      <c r="AO79" s="1095">
        <v>124293</v>
      </c>
      <c r="AP79" s="1095">
        <v>111</v>
      </c>
      <c r="AQ79" s="1095">
        <v>442</v>
      </c>
      <c r="AR79" s="1095">
        <v>969205</v>
      </c>
      <c r="AS79" s="1095">
        <v>0</v>
      </c>
      <c r="AT79" s="1095">
        <v>0</v>
      </c>
      <c r="AU79" s="1095">
        <v>115600</v>
      </c>
    </row>
    <row r="80" spans="1:47" s="1077" customFormat="1" x14ac:dyDescent="0.25">
      <c r="A80" s="99">
        <v>254</v>
      </c>
      <c r="B80" s="1088">
        <v>254</v>
      </c>
      <c r="C80" s="1084">
        <v>254</v>
      </c>
      <c r="D80" s="1085" t="s">
        <v>105</v>
      </c>
      <c r="E80" s="1091">
        <v>0</v>
      </c>
      <c r="F80" s="1069" t="s">
        <v>1560</v>
      </c>
      <c r="G80" s="1069">
        <v>298578</v>
      </c>
      <c r="H80" s="1069" t="s">
        <v>1560</v>
      </c>
      <c r="I80" s="1069" t="s">
        <v>1560</v>
      </c>
      <c r="J80" s="1070">
        <v>206923</v>
      </c>
      <c r="K80" s="1082">
        <v>-1118881</v>
      </c>
      <c r="L80" s="1079">
        <v>0</v>
      </c>
      <c r="M80" s="1094">
        <v>0</v>
      </c>
      <c r="N80" s="1094">
        <v>0</v>
      </c>
      <c r="O80" s="1094">
        <v>0</v>
      </c>
      <c r="P80" s="1094">
        <v>0</v>
      </c>
      <c r="Q80" s="1094">
        <v>0</v>
      </c>
      <c r="R80" s="1094">
        <v>0</v>
      </c>
      <c r="S80" s="1094">
        <v>324457</v>
      </c>
      <c r="T80" s="1094">
        <v>0</v>
      </c>
      <c r="U80" s="1094">
        <v>136551</v>
      </c>
      <c r="V80" s="1094">
        <v>5858245</v>
      </c>
      <c r="W80" s="1094">
        <v>0</v>
      </c>
      <c r="X80" s="1094">
        <v>64863</v>
      </c>
      <c r="Y80" s="1094">
        <v>0</v>
      </c>
      <c r="Z80" s="1094">
        <v>125282</v>
      </c>
      <c r="AA80" s="1095">
        <v>345459</v>
      </c>
      <c r="AB80" s="1095">
        <v>0</v>
      </c>
      <c r="AC80" s="1095">
        <v>59093</v>
      </c>
      <c r="AD80" s="1095">
        <v>162470</v>
      </c>
      <c r="AE80" s="1095">
        <v>77801</v>
      </c>
      <c r="AF80" s="1095">
        <v>-79687872</v>
      </c>
      <c r="AG80" s="1095">
        <v>0</v>
      </c>
      <c r="AH80" s="1095">
        <v>113897</v>
      </c>
      <c r="AI80" s="1095">
        <v>0</v>
      </c>
      <c r="AJ80" s="1095">
        <v>8054655</v>
      </c>
      <c r="AK80" s="1095">
        <v>2648590</v>
      </c>
      <c r="AL80" s="1095">
        <v>13016877</v>
      </c>
      <c r="AM80" s="1095">
        <v>1054702</v>
      </c>
      <c r="AN80" s="1095">
        <v>40033</v>
      </c>
      <c r="AO80" s="1095">
        <v>139664</v>
      </c>
      <c r="AP80" s="1095">
        <v>32157</v>
      </c>
      <c r="AQ80" s="1095">
        <v>61803</v>
      </c>
      <c r="AR80" s="1095">
        <v>0</v>
      </c>
      <c r="AS80" s="1095">
        <v>0</v>
      </c>
      <c r="AT80" s="1095">
        <v>0</v>
      </c>
      <c r="AU80" s="1095">
        <v>160614</v>
      </c>
    </row>
    <row r="81" spans="1:47" s="1077" customFormat="1" x14ac:dyDescent="0.25">
      <c r="A81" s="99">
        <v>255</v>
      </c>
      <c r="B81" s="1088">
        <v>255</v>
      </c>
      <c r="C81" s="1084">
        <v>255</v>
      </c>
      <c r="D81" s="1085" t="s">
        <v>197</v>
      </c>
      <c r="E81" s="1091">
        <v>0</v>
      </c>
      <c r="F81" s="1069" t="s">
        <v>1560</v>
      </c>
      <c r="G81" s="1069">
        <v>27302</v>
      </c>
      <c r="H81" s="1069" t="s">
        <v>1560</v>
      </c>
      <c r="I81" s="1069" t="s">
        <v>1560</v>
      </c>
      <c r="J81" s="1070">
        <v>-23434</v>
      </c>
      <c r="K81" s="1082">
        <v>98882</v>
      </c>
      <c r="L81" s="1079">
        <v>0</v>
      </c>
      <c r="M81" s="1094">
        <v>0</v>
      </c>
      <c r="N81" s="1094">
        <v>0</v>
      </c>
      <c r="O81" s="1094">
        <v>0</v>
      </c>
      <c r="P81" s="1094">
        <v>0</v>
      </c>
      <c r="Q81" s="1094">
        <v>0</v>
      </c>
      <c r="R81" s="1094">
        <v>0</v>
      </c>
      <c r="S81" s="1094">
        <v>12399</v>
      </c>
      <c r="T81" s="1094">
        <v>0</v>
      </c>
      <c r="U81" s="1094">
        <v>20078</v>
      </c>
      <c r="V81" s="1094">
        <v>1097050</v>
      </c>
      <c r="W81" s="1094">
        <v>0</v>
      </c>
      <c r="X81" s="1094">
        <v>-26312</v>
      </c>
      <c r="Y81" s="1094">
        <v>0</v>
      </c>
      <c r="Z81" s="1094">
        <v>-10527</v>
      </c>
      <c r="AA81" s="1095">
        <v>97715</v>
      </c>
      <c r="AB81" s="1095">
        <v>0</v>
      </c>
      <c r="AC81" s="1095">
        <v>23023</v>
      </c>
      <c r="AD81" s="1095">
        <v>19929</v>
      </c>
      <c r="AE81" s="1095">
        <v>12008</v>
      </c>
      <c r="AF81" s="1095">
        <v>-4207775</v>
      </c>
      <c r="AG81" s="1095">
        <v>0</v>
      </c>
      <c r="AH81" s="1095">
        <v>5411</v>
      </c>
      <c r="AI81" s="1095">
        <v>0</v>
      </c>
      <c r="AJ81" s="1095">
        <v>1513418</v>
      </c>
      <c r="AK81" s="1095">
        <v>871369</v>
      </c>
      <c r="AL81" s="1095">
        <v>89864071</v>
      </c>
      <c r="AM81" s="1095">
        <v>73019</v>
      </c>
      <c r="AN81" s="1095">
        <v>-51798</v>
      </c>
      <c r="AO81" s="1095">
        <v>1206</v>
      </c>
      <c r="AP81" s="1095">
        <v>2356</v>
      </c>
      <c r="AQ81" s="1095">
        <v>-8228</v>
      </c>
      <c r="AR81" s="1095">
        <v>224045</v>
      </c>
      <c r="AS81" s="1095">
        <v>0</v>
      </c>
      <c r="AT81" s="1095">
        <v>0</v>
      </c>
      <c r="AU81" s="1095">
        <v>93623</v>
      </c>
    </row>
    <row r="82" spans="1:47" s="1077" customFormat="1" x14ac:dyDescent="0.25">
      <c r="A82" s="99">
        <v>274</v>
      </c>
      <c r="B82" s="99"/>
      <c r="C82" s="1084">
        <v>274</v>
      </c>
      <c r="D82" s="1089" t="s">
        <v>315</v>
      </c>
      <c r="E82" s="1091">
        <v>0</v>
      </c>
      <c r="F82" s="1069" t="s">
        <v>1560</v>
      </c>
      <c r="G82" s="1069" t="s">
        <v>1560</v>
      </c>
      <c r="H82" s="1069" t="s">
        <v>1560</v>
      </c>
      <c r="I82" s="1069" t="s">
        <v>1560</v>
      </c>
      <c r="J82" s="1070" t="s">
        <v>1560</v>
      </c>
      <c r="K82" s="1082">
        <v>0</v>
      </c>
      <c r="L82" s="1079">
        <v>0</v>
      </c>
      <c r="M82" s="1094">
        <v>0</v>
      </c>
      <c r="N82" s="1094">
        <v>0</v>
      </c>
      <c r="O82" s="1094">
        <v>0</v>
      </c>
      <c r="P82" s="1094">
        <v>0</v>
      </c>
      <c r="Q82" s="1094">
        <v>0</v>
      </c>
      <c r="R82" s="1094">
        <v>0</v>
      </c>
      <c r="S82" s="1094">
        <v>0</v>
      </c>
      <c r="T82" s="1094">
        <v>0</v>
      </c>
      <c r="U82" s="1094">
        <v>0</v>
      </c>
      <c r="V82" s="1094">
        <v>0</v>
      </c>
      <c r="W82" s="1094">
        <v>0</v>
      </c>
      <c r="X82" s="1094">
        <v>0</v>
      </c>
      <c r="Y82" s="1094">
        <v>0</v>
      </c>
      <c r="Z82" s="1094">
        <v>0</v>
      </c>
      <c r="AA82" s="1095">
        <v>0</v>
      </c>
      <c r="AB82" s="1095">
        <v>0</v>
      </c>
      <c r="AC82" s="1095">
        <v>0</v>
      </c>
      <c r="AD82" s="1095">
        <v>0</v>
      </c>
      <c r="AE82" s="1095">
        <v>0</v>
      </c>
      <c r="AF82" s="1095">
        <v>0</v>
      </c>
      <c r="AG82" s="1095">
        <v>0</v>
      </c>
      <c r="AH82" s="1095">
        <v>0</v>
      </c>
      <c r="AI82" s="1095">
        <v>0</v>
      </c>
      <c r="AJ82" s="1095">
        <v>0</v>
      </c>
      <c r="AK82" s="1095">
        <v>0</v>
      </c>
      <c r="AL82" s="1095">
        <v>0</v>
      </c>
      <c r="AM82" s="1095">
        <v>0</v>
      </c>
      <c r="AN82" s="1095">
        <v>0</v>
      </c>
      <c r="AO82" s="1095">
        <v>0</v>
      </c>
      <c r="AP82" s="1095">
        <v>0</v>
      </c>
      <c r="AQ82" s="1095">
        <v>0</v>
      </c>
      <c r="AR82" s="1095">
        <v>0</v>
      </c>
      <c r="AS82" s="1095">
        <v>0</v>
      </c>
      <c r="AT82" s="1095">
        <v>0</v>
      </c>
      <c r="AU82" s="1095">
        <v>0</v>
      </c>
    </row>
    <row r="83" spans="1:47" s="1077" customFormat="1" x14ac:dyDescent="0.25">
      <c r="A83" s="99">
        <v>294</v>
      </c>
      <c r="B83" s="99"/>
      <c r="C83" s="1084">
        <v>294</v>
      </c>
      <c r="D83" s="1090" t="s">
        <v>575</v>
      </c>
      <c r="E83" s="1091">
        <v>0</v>
      </c>
      <c r="F83" s="1069" t="s">
        <v>1560</v>
      </c>
      <c r="G83" s="1069" t="s">
        <v>1560</v>
      </c>
      <c r="H83" s="1069" t="s">
        <v>1560</v>
      </c>
      <c r="I83" s="1069" t="s">
        <v>1560</v>
      </c>
      <c r="J83" s="1070" t="s">
        <v>1560</v>
      </c>
      <c r="K83" s="1082">
        <v>0</v>
      </c>
      <c r="L83" s="1079">
        <v>0</v>
      </c>
      <c r="M83" s="1094">
        <v>0</v>
      </c>
      <c r="N83" s="1094">
        <v>0</v>
      </c>
      <c r="O83" s="1094">
        <v>0</v>
      </c>
      <c r="P83" s="1094">
        <v>0</v>
      </c>
      <c r="Q83" s="1094">
        <v>0</v>
      </c>
      <c r="R83" s="1094">
        <v>0</v>
      </c>
      <c r="S83" s="1094">
        <v>0</v>
      </c>
      <c r="T83" s="1094">
        <v>0</v>
      </c>
      <c r="U83" s="1094">
        <v>0</v>
      </c>
      <c r="V83" s="1094">
        <v>0</v>
      </c>
      <c r="W83" s="1094">
        <v>0</v>
      </c>
      <c r="X83" s="1094">
        <v>0</v>
      </c>
      <c r="Y83" s="1094">
        <v>0</v>
      </c>
      <c r="Z83" s="1094">
        <v>0</v>
      </c>
      <c r="AA83" s="1095">
        <v>0</v>
      </c>
      <c r="AB83" s="1095">
        <v>0</v>
      </c>
      <c r="AC83" s="1095">
        <v>0</v>
      </c>
      <c r="AD83" s="1095">
        <v>0</v>
      </c>
      <c r="AE83" s="1095">
        <v>0</v>
      </c>
      <c r="AF83" s="1095">
        <v>0</v>
      </c>
      <c r="AG83" s="1095">
        <v>0</v>
      </c>
      <c r="AH83" s="1095">
        <v>0</v>
      </c>
      <c r="AI83" s="1095">
        <v>0</v>
      </c>
      <c r="AJ83" s="1095">
        <v>0</v>
      </c>
      <c r="AK83" s="1095">
        <v>0</v>
      </c>
      <c r="AL83" s="1095">
        <v>0</v>
      </c>
      <c r="AM83" s="1095">
        <v>0</v>
      </c>
      <c r="AN83" s="1095">
        <v>0</v>
      </c>
      <c r="AO83" s="1095">
        <v>0</v>
      </c>
      <c r="AP83" s="1095">
        <v>0</v>
      </c>
      <c r="AQ83" s="1095">
        <v>0</v>
      </c>
      <c r="AR83" s="1095">
        <v>0</v>
      </c>
      <c r="AS83" s="1095">
        <v>0</v>
      </c>
      <c r="AT83" s="1095">
        <v>0</v>
      </c>
      <c r="AU83" s="1095">
        <v>0</v>
      </c>
    </row>
    <row r="84" spans="1:47" s="1077" customFormat="1" ht="38.25" x14ac:dyDescent="0.25">
      <c r="A84" s="99">
        <v>314</v>
      </c>
      <c r="B84" s="99"/>
      <c r="C84" s="1084">
        <v>314</v>
      </c>
      <c r="D84" s="1090" t="s">
        <v>316</v>
      </c>
      <c r="E84" s="1091">
        <v>0</v>
      </c>
      <c r="F84" s="1069" t="s">
        <v>1560</v>
      </c>
      <c r="G84" s="1069" t="s">
        <v>1560</v>
      </c>
      <c r="H84" s="1069" t="s">
        <v>1560</v>
      </c>
      <c r="I84" s="1069" t="s">
        <v>1560</v>
      </c>
      <c r="J84" s="1070" t="s">
        <v>1560</v>
      </c>
      <c r="K84" s="1082">
        <v>0</v>
      </c>
      <c r="L84" s="1079">
        <v>0</v>
      </c>
      <c r="M84" s="1094">
        <v>0</v>
      </c>
      <c r="N84" s="1094">
        <v>0</v>
      </c>
      <c r="O84" s="1094">
        <v>0</v>
      </c>
      <c r="P84" s="1094">
        <v>0</v>
      </c>
      <c r="Q84" s="1094">
        <v>0</v>
      </c>
      <c r="R84" s="1094">
        <v>0</v>
      </c>
      <c r="S84" s="1094">
        <v>0</v>
      </c>
      <c r="T84" s="1094">
        <v>0</v>
      </c>
      <c r="U84" s="1094">
        <v>0</v>
      </c>
      <c r="V84" s="1094">
        <v>0</v>
      </c>
      <c r="W84" s="1094">
        <v>0</v>
      </c>
      <c r="X84" s="1094">
        <v>0</v>
      </c>
      <c r="Y84" s="1094">
        <v>0</v>
      </c>
      <c r="Z84" s="1094">
        <v>0</v>
      </c>
      <c r="AA84" s="1095">
        <v>0</v>
      </c>
      <c r="AB84" s="1095">
        <v>0</v>
      </c>
      <c r="AC84" s="1095">
        <v>0</v>
      </c>
      <c r="AD84" s="1095">
        <v>0</v>
      </c>
      <c r="AE84" s="1095">
        <v>0</v>
      </c>
      <c r="AF84" s="1095">
        <v>0</v>
      </c>
      <c r="AG84" s="1095">
        <v>0</v>
      </c>
      <c r="AH84" s="1095">
        <v>0</v>
      </c>
      <c r="AI84" s="1095">
        <v>0</v>
      </c>
      <c r="AJ84" s="1095">
        <v>0</v>
      </c>
      <c r="AK84" s="1095">
        <v>0</v>
      </c>
      <c r="AL84" s="1095">
        <v>0</v>
      </c>
      <c r="AM84" s="1095">
        <v>0</v>
      </c>
      <c r="AN84" s="1095">
        <v>0</v>
      </c>
      <c r="AO84" s="1095">
        <v>0</v>
      </c>
      <c r="AP84" s="1095">
        <v>0</v>
      </c>
      <c r="AQ84" s="1095">
        <v>0</v>
      </c>
      <c r="AR84" s="1095">
        <v>0</v>
      </c>
      <c r="AS84" s="1095">
        <v>0</v>
      </c>
      <c r="AT84" s="1095">
        <v>0</v>
      </c>
      <c r="AU84" s="1095">
        <v>0</v>
      </c>
    </row>
    <row r="85" spans="1:47" s="1077" customFormat="1" ht="25.5" x14ac:dyDescent="0.25">
      <c r="A85" s="99">
        <v>315</v>
      </c>
      <c r="B85" s="99"/>
      <c r="C85" s="1084">
        <v>315</v>
      </c>
      <c r="D85" s="1090" t="s">
        <v>317</v>
      </c>
      <c r="E85" s="1091">
        <v>0</v>
      </c>
      <c r="F85" s="1069" t="s">
        <v>1560</v>
      </c>
      <c r="G85" s="1069" t="s">
        <v>1560</v>
      </c>
      <c r="H85" s="1069" t="s">
        <v>1560</v>
      </c>
      <c r="I85" s="1069" t="s">
        <v>1560</v>
      </c>
      <c r="J85" s="1070" t="s">
        <v>1560</v>
      </c>
      <c r="K85" s="1082">
        <v>0</v>
      </c>
      <c r="L85" s="1079">
        <v>0</v>
      </c>
      <c r="M85" s="1094">
        <v>0</v>
      </c>
      <c r="N85" s="1094">
        <v>0</v>
      </c>
      <c r="O85" s="1094">
        <v>0</v>
      </c>
      <c r="P85" s="1094">
        <v>0</v>
      </c>
      <c r="Q85" s="1094">
        <v>0</v>
      </c>
      <c r="R85" s="1094">
        <v>0</v>
      </c>
      <c r="S85" s="1094">
        <v>0</v>
      </c>
      <c r="T85" s="1094">
        <v>0</v>
      </c>
      <c r="U85" s="1094">
        <v>0</v>
      </c>
      <c r="V85" s="1094">
        <v>0</v>
      </c>
      <c r="W85" s="1094">
        <v>0</v>
      </c>
      <c r="X85" s="1094">
        <v>0</v>
      </c>
      <c r="Y85" s="1094">
        <v>0</v>
      </c>
      <c r="Z85" s="1094">
        <v>0</v>
      </c>
      <c r="AA85" s="1095">
        <v>0</v>
      </c>
      <c r="AB85" s="1095">
        <v>0</v>
      </c>
      <c r="AC85" s="1095">
        <v>0</v>
      </c>
      <c r="AD85" s="1095">
        <v>0</v>
      </c>
      <c r="AE85" s="1095">
        <v>0</v>
      </c>
      <c r="AF85" s="1095">
        <v>0</v>
      </c>
      <c r="AG85" s="1095">
        <v>0</v>
      </c>
      <c r="AH85" s="1095">
        <v>0</v>
      </c>
      <c r="AI85" s="1095">
        <v>0</v>
      </c>
      <c r="AJ85" s="1095">
        <v>0</v>
      </c>
      <c r="AK85" s="1095">
        <v>0</v>
      </c>
      <c r="AL85" s="1095">
        <v>0</v>
      </c>
      <c r="AM85" s="1095">
        <v>0</v>
      </c>
      <c r="AN85" s="1095">
        <v>0</v>
      </c>
      <c r="AO85" s="1095">
        <v>0</v>
      </c>
      <c r="AP85" s="1095">
        <v>0</v>
      </c>
      <c r="AQ85" s="1095">
        <v>0</v>
      </c>
      <c r="AR85" s="1095">
        <v>0</v>
      </c>
      <c r="AS85" s="1095">
        <v>0</v>
      </c>
      <c r="AT85" s="1095">
        <v>0</v>
      </c>
      <c r="AU85" s="1095">
        <v>0</v>
      </c>
    </row>
    <row r="86" spans="1:47" s="1077" customFormat="1" ht="25.5" x14ac:dyDescent="0.25">
      <c r="A86" s="99">
        <v>316</v>
      </c>
      <c r="B86" s="99"/>
      <c r="C86" s="1084">
        <v>316</v>
      </c>
      <c r="D86" s="1090" t="s">
        <v>318</v>
      </c>
      <c r="E86" s="1091">
        <v>0</v>
      </c>
      <c r="F86" s="1069" t="s">
        <v>1560</v>
      </c>
      <c r="G86" s="1069" t="s">
        <v>1560</v>
      </c>
      <c r="H86" s="1069" t="s">
        <v>1560</v>
      </c>
      <c r="I86" s="1069" t="s">
        <v>1560</v>
      </c>
      <c r="J86" s="1070" t="s">
        <v>1560</v>
      </c>
      <c r="K86" s="1082">
        <v>0</v>
      </c>
      <c r="L86" s="1079">
        <v>0</v>
      </c>
      <c r="M86" s="1094">
        <v>0</v>
      </c>
      <c r="N86" s="1094">
        <v>0</v>
      </c>
      <c r="O86" s="1094">
        <v>0</v>
      </c>
      <c r="P86" s="1094">
        <v>0</v>
      </c>
      <c r="Q86" s="1094">
        <v>0</v>
      </c>
      <c r="R86" s="1094">
        <v>0</v>
      </c>
      <c r="S86" s="1094">
        <v>0</v>
      </c>
      <c r="T86" s="1094">
        <v>0</v>
      </c>
      <c r="U86" s="1094">
        <v>0</v>
      </c>
      <c r="V86" s="1094">
        <v>0</v>
      </c>
      <c r="W86" s="1094">
        <v>0</v>
      </c>
      <c r="X86" s="1094">
        <v>0</v>
      </c>
      <c r="Y86" s="1094">
        <v>0</v>
      </c>
      <c r="Z86" s="1094">
        <v>0</v>
      </c>
      <c r="AA86" s="1095">
        <v>0</v>
      </c>
      <c r="AB86" s="1095">
        <v>0</v>
      </c>
      <c r="AC86" s="1095">
        <v>0</v>
      </c>
      <c r="AD86" s="1095">
        <v>0</v>
      </c>
      <c r="AE86" s="1095">
        <v>0</v>
      </c>
      <c r="AF86" s="1095">
        <v>0</v>
      </c>
      <c r="AG86" s="1095">
        <v>0</v>
      </c>
      <c r="AH86" s="1095">
        <v>0</v>
      </c>
      <c r="AI86" s="1095">
        <v>0</v>
      </c>
      <c r="AJ86" s="1095">
        <v>0</v>
      </c>
      <c r="AK86" s="1095">
        <v>0</v>
      </c>
      <c r="AL86" s="1095">
        <v>0</v>
      </c>
      <c r="AM86" s="1095">
        <v>0</v>
      </c>
      <c r="AN86" s="1095">
        <v>0</v>
      </c>
      <c r="AO86" s="1095">
        <v>0</v>
      </c>
      <c r="AP86" s="1095">
        <v>0</v>
      </c>
      <c r="AQ86" s="1095">
        <v>0</v>
      </c>
      <c r="AR86" s="1095">
        <v>0</v>
      </c>
      <c r="AS86" s="1095">
        <v>0</v>
      </c>
      <c r="AT86" s="1095">
        <v>0</v>
      </c>
      <c r="AU86" s="1095">
        <v>0</v>
      </c>
    </row>
    <row r="87" spans="1:47" s="1077" customFormat="1" x14ac:dyDescent="0.25">
      <c r="A87" s="99">
        <v>320</v>
      </c>
      <c r="B87" s="99"/>
      <c r="C87" s="1084">
        <v>320</v>
      </c>
      <c r="D87" s="1085" t="s">
        <v>258</v>
      </c>
      <c r="E87" s="1091">
        <v>0</v>
      </c>
      <c r="F87" s="1069" t="s">
        <v>1560</v>
      </c>
      <c r="G87" s="1069" t="s">
        <v>1560</v>
      </c>
      <c r="H87" s="1069" t="s">
        <v>1560</v>
      </c>
      <c r="I87" s="1069" t="s">
        <v>1560</v>
      </c>
      <c r="J87" s="1070" t="s">
        <v>1560</v>
      </c>
      <c r="K87" s="1082">
        <v>0</v>
      </c>
      <c r="L87" s="1079">
        <v>0</v>
      </c>
      <c r="M87" s="1094">
        <v>0</v>
      </c>
      <c r="N87" s="1094">
        <v>0</v>
      </c>
      <c r="O87" s="1094">
        <v>0</v>
      </c>
      <c r="P87" s="1094">
        <v>0</v>
      </c>
      <c r="Q87" s="1094">
        <v>0</v>
      </c>
      <c r="R87" s="1094">
        <v>0</v>
      </c>
      <c r="S87" s="1094">
        <v>0</v>
      </c>
      <c r="T87" s="1094">
        <v>0</v>
      </c>
      <c r="U87" s="1094">
        <v>0</v>
      </c>
      <c r="V87" s="1094">
        <v>0</v>
      </c>
      <c r="W87" s="1094">
        <v>0</v>
      </c>
      <c r="X87" s="1094">
        <v>0</v>
      </c>
      <c r="Y87" s="1094">
        <v>0</v>
      </c>
      <c r="Z87" s="1094">
        <v>0</v>
      </c>
      <c r="AA87" s="1095">
        <v>0</v>
      </c>
      <c r="AB87" s="1095">
        <v>0</v>
      </c>
      <c r="AC87" s="1095">
        <v>0</v>
      </c>
      <c r="AD87" s="1095">
        <v>0</v>
      </c>
      <c r="AE87" s="1095">
        <v>0</v>
      </c>
      <c r="AF87" s="1095">
        <v>0</v>
      </c>
      <c r="AG87" s="1095">
        <v>0</v>
      </c>
      <c r="AH87" s="1095">
        <v>0</v>
      </c>
      <c r="AI87" s="1095">
        <v>0</v>
      </c>
      <c r="AJ87" s="1095">
        <v>0</v>
      </c>
      <c r="AK87" s="1095">
        <v>0</v>
      </c>
      <c r="AL87" s="1095">
        <v>0</v>
      </c>
      <c r="AM87" s="1095">
        <v>0</v>
      </c>
      <c r="AN87" s="1095">
        <v>0</v>
      </c>
      <c r="AO87" s="1095">
        <v>0</v>
      </c>
      <c r="AP87" s="1095">
        <v>0</v>
      </c>
      <c r="AQ87" s="1095">
        <v>0</v>
      </c>
      <c r="AR87" s="1095">
        <v>0</v>
      </c>
      <c r="AS87" s="1095">
        <v>0</v>
      </c>
      <c r="AT87" s="1095">
        <v>0</v>
      </c>
      <c r="AU87" s="1095">
        <v>0</v>
      </c>
    </row>
    <row r="88" spans="1:47" s="1077" customFormat="1" x14ac:dyDescent="0.25">
      <c r="A88" s="99">
        <v>321</v>
      </c>
      <c r="B88" s="99"/>
      <c r="C88" s="1084">
        <v>321</v>
      </c>
      <c r="D88" s="1085" t="s">
        <v>576</v>
      </c>
      <c r="E88" s="1091">
        <v>0</v>
      </c>
      <c r="F88" s="1069" t="s">
        <v>1560</v>
      </c>
      <c r="G88" s="1069" t="s">
        <v>1560</v>
      </c>
      <c r="H88" s="1069" t="s">
        <v>1560</v>
      </c>
      <c r="I88" s="1069" t="s">
        <v>1560</v>
      </c>
      <c r="J88" s="1070" t="s">
        <v>1560</v>
      </c>
      <c r="K88" s="1082">
        <v>0</v>
      </c>
      <c r="L88" s="1079">
        <v>0</v>
      </c>
      <c r="M88" s="1094">
        <v>0</v>
      </c>
      <c r="N88" s="1094">
        <v>0</v>
      </c>
      <c r="O88" s="1094">
        <v>0</v>
      </c>
      <c r="P88" s="1094">
        <v>0</v>
      </c>
      <c r="Q88" s="1094">
        <v>0</v>
      </c>
      <c r="R88" s="1094">
        <v>0</v>
      </c>
      <c r="S88" s="1094">
        <v>0</v>
      </c>
      <c r="T88" s="1094">
        <v>0</v>
      </c>
      <c r="U88" s="1094">
        <v>0</v>
      </c>
      <c r="V88" s="1094">
        <v>0</v>
      </c>
      <c r="W88" s="1094">
        <v>0</v>
      </c>
      <c r="X88" s="1094">
        <v>0</v>
      </c>
      <c r="Y88" s="1094">
        <v>0</v>
      </c>
      <c r="Z88" s="1094">
        <v>0</v>
      </c>
      <c r="AA88" s="1095">
        <v>0</v>
      </c>
      <c r="AB88" s="1095">
        <v>0</v>
      </c>
      <c r="AC88" s="1095">
        <v>0</v>
      </c>
      <c r="AD88" s="1095">
        <v>0</v>
      </c>
      <c r="AE88" s="1095">
        <v>0</v>
      </c>
      <c r="AF88" s="1095">
        <v>0</v>
      </c>
      <c r="AG88" s="1095">
        <v>0</v>
      </c>
      <c r="AH88" s="1095">
        <v>0</v>
      </c>
      <c r="AI88" s="1095">
        <v>0</v>
      </c>
      <c r="AJ88" s="1095">
        <v>0</v>
      </c>
      <c r="AK88" s="1095">
        <v>0</v>
      </c>
      <c r="AL88" s="1095">
        <v>0</v>
      </c>
      <c r="AM88" s="1095">
        <v>0</v>
      </c>
      <c r="AN88" s="1095">
        <v>0</v>
      </c>
      <c r="AO88" s="1095">
        <v>0</v>
      </c>
      <c r="AP88" s="1095">
        <v>0</v>
      </c>
      <c r="AQ88" s="1095">
        <v>0</v>
      </c>
      <c r="AR88" s="1095">
        <v>0</v>
      </c>
      <c r="AS88" s="1095">
        <v>0</v>
      </c>
      <c r="AT88" s="1095">
        <v>0</v>
      </c>
      <c r="AU88" s="1095">
        <v>0</v>
      </c>
    </row>
    <row r="89" spans="1:47" s="1077" customFormat="1" x14ac:dyDescent="0.25">
      <c r="A89" s="99">
        <v>322</v>
      </c>
      <c r="B89" s="99"/>
      <c r="C89" s="1084">
        <v>322</v>
      </c>
      <c r="D89" s="1085" t="s">
        <v>260</v>
      </c>
      <c r="E89" s="1091">
        <v>0</v>
      </c>
      <c r="F89" s="1069" t="s">
        <v>1560</v>
      </c>
      <c r="G89" s="1069" t="s">
        <v>1560</v>
      </c>
      <c r="H89" s="1069" t="s">
        <v>1560</v>
      </c>
      <c r="I89" s="1069" t="s">
        <v>1560</v>
      </c>
      <c r="J89" s="1070" t="s">
        <v>1560</v>
      </c>
      <c r="K89" s="1082">
        <v>0</v>
      </c>
      <c r="L89" s="1079">
        <v>0</v>
      </c>
      <c r="M89" s="1094">
        <v>0</v>
      </c>
      <c r="N89" s="1094">
        <v>0</v>
      </c>
      <c r="O89" s="1094">
        <v>0</v>
      </c>
      <c r="P89" s="1094">
        <v>0</v>
      </c>
      <c r="Q89" s="1094">
        <v>0</v>
      </c>
      <c r="R89" s="1094">
        <v>0</v>
      </c>
      <c r="S89" s="1094">
        <v>0</v>
      </c>
      <c r="T89" s="1094">
        <v>0</v>
      </c>
      <c r="U89" s="1094">
        <v>0</v>
      </c>
      <c r="V89" s="1094">
        <v>0</v>
      </c>
      <c r="W89" s="1094">
        <v>0</v>
      </c>
      <c r="X89" s="1094">
        <v>0</v>
      </c>
      <c r="Y89" s="1094">
        <v>0</v>
      </c>
      <c r="Z89" s="1094">
        <v>0</v>
      </c>
      <c r="AA89" s="1095">
        <v>0</v>
      </c>
      <c r="AB89" s="1095">
        <v>0</v>
      </c>
      <c r="AC89" s="1095">
        <v>0</v>
      </c>
      <c r="AD89" s="1095">
        <v>0</v>
      </c>
      <c r="AE89" s="1095">
        <v>0</v>
      </c>
      <c r="AF89" s="1095">
        <v>0</v>
      </c>
      <c r="AG89" s="1095">
        <v>0</v>
      </c>
      <c r="AH89" s="1095">
        <v>0</v>
      </c>
      <c r="AI89" s="1095">
        <v>0</v>
      </c>
      <c r="AJ89" s="1095">
        <v>0</v>
      </c>
      <c r="AK89" s="1095">
        <v>0</v>
      </c>
      <c r="AL89" s="1095">
        <v>0</v>
      </c>
      <c r="AM89" s="1095">
        <v>0</v>
      </c>
      <c r="AN89" s="1095">
        <v>0</v>
      </c>
      <c r="AO89" s="1095">
        <v>0</v>
      </c>
      <c r="AP89" s="1095">
        <v>0</v>
      </c>
      <c r="AQ89" s="1095">
        <v>0</v>
      </c>
      <c r="AR89" s="1095">
        <v>0</v>
      </c>
      <c r="AS89" s="1095">
        <v>0</v>
      </c>
      <c r="AT89" s="1095">
        <v>0</v>
      </c>
      <c r="AU89" s="1095">
        <v>0</v>
      </c>
    </row>
    <row r="90" spans="1:47" s="1077" customFormat="1" x14ac:dyDescent="0.25">
      <c r="A90" s="99">
        <v>323</v>
      </c>
      <c r="B90" s="99"/>
      <c r="C90" s="1084">
        <v>323</v>
      </c>
      <c r="D90" s="1085" t="s">
        <v>259</v>
      </c>
      <c r="E90" s="1091">
        <v>0</v>
      </c>
      <c r="F90" s="1069" t="s">
        <v>1560</v>
      </c>
      <c r="G90" s="1069" t="s">
        <v>1560</v>
      </c>
      <c r="H90" s="1069" t="s">
        <v>1560</v>
      </c>
      <c r="I90" s="1069" t="s">
        <v>1560</v>
      </c>
      <c r="J90" s="1070" t="s">
        <v>1560</v>
      </c>
      <c r="K90" s="1082">
        <v>0</v>
      </c>
      <c r="L90" s="1079">
        <v>0</v>
      </c>
      <c r="M90" s="1094">
        <v>0</v>
      </c>
      <c r="N90" s="1094">
        <v>0</v>
      </c>
      <c r="O90" s="1094">
        <v>0</v>
      </c>
      <c r="P90" s="1094">
        <v>0</v>
      </c>
      <c r="Q90" s="1094">
        <v>0</v>
      </c>
      <c r="R90" s="1094">
        <v>0</v>
      </c>
      <c r="S90" s="1094">
        <v>0</v>
      </c>
      <c r="T90" s="1094">
        <v>0</v>
      </c>
      <c r="U90" s="1094">
        <v>0</v>
      </c>
      <c r="V90" s="1094">
        <v>0</v>
      </c>
      <c r="W90" s="1094">
        <v>0</v>
      </c>
      <c r="X90" s="1094">
        <v>0</v>
      </c>
      <c r="Y90" s="1094">
        <v>0</v>
      </c>
      <c r="Z90" s="1094">
        <v>0</v>
      </c>
      <c r="AA90" s="1095">
        <v>0</v>
      </c>
      <c r="AB90" s="1095">
        <v>0</v>
      </c>
      <c r="AC90" s="1095">
        <v>0</v>
      </c>
      <c r="AD90" s="1095">
        <v>0</v>
      </c>
      <c r="AE90" s="1095">
        <v>0</v>
      </c>
      <c r="AF90" s="1095">
        <v>0</v>
      </c>
      <c r="AG90" s="1095">
        <v>0</v>
      </c>
      <c r="AH90" s="1095">
        <v>0</v>
      </c>
      <c r="AI90" s="1095">
        <v>0</v>
      </c>
      <c r="AJ90" s="1095">
        <v>0</v>
      </c>
      <c r="AK90" s="1095">
        <v>0</v>
      </c>
      <c r="AL90" s="1095">
        <v>0</v>
      </c>
      <c r="AM90" s="1095">
        <v>0</v>
      </c>
      <c r="AN90" s="1095">
        <v>0</v>
      </c>
      <c r="AO90" s="1095">
        <v>0</v>
      </c>
      <c r="AP90" s="1095">
        <v>0</v>
      </c>
      <c r="AQ90" s="1095">
        <v>0</v>
      </c>
      <c r="AR90" s="1095">
        <v>0</v>
      </c>
      <c r="AS90" s="1095">
        <v>0</v>
      </c>
      <c r="AT90" s="1095">
        <v>0</v>
      </c>
      <c r="AU90" s="1095">
        <v>0</v>
      </c>
    </row>
    <row r="91" spans="1:47" s="1077" customFormat="1" x14ac:dyDescent="0.25">
      <c r="A91" s="99">
        <v>324</v>
      </c>
      <c r="B91" s="99"/>
      <c r="C91" s="1084">
        <v>324</v>
      </c>
      <c r="D91" s="1085" t="s">
        <v>257</v>
      </c>
      <c r="E91" s="1091">
        <v>0</v>
      </c>
      <c r="F91" s="1069" t="s">
        <v>1560</v>
      </c>
      <c r="G91" s="1069" t="s">
        <v>1560</v>
      </c>
      <c r="H91" s="1069" t="s">
        <v>1560</v>
      </c>
      <c r="I91" s="1069" t="s">
        <v>1560</v>
      </c>
      <c r="J91" s="1070" t="s">
        <v>1560</v>
      </c>
      <c r="K91" s="1082">
        <v>0</v>
      </c>
      <c r="L91" s="1079">
        <v>0</v>
      </c>
      <c r="M91" s="1094">
        <v>0</v>
      </c>
      <c r="N91" s="1094">
        <v>0</v>
      </c>
      <c r="O91" s="1094">
        <v>0</v>
      </c>
      <c r="P91" s="1094">
        <v>0</v>
      </c>
      <c r="Q91" s="1094">
        <v>0</v>
      </c>
      <c r="R91" s="1094">
        <v>0</v>
      </c>
      <c r="S91" s="1094">
        <v>0</v>
      </c>
      <c r="T91" s="1094">
        <v>0</v>
      </c>
      <c r="U91" s="1094">
        <v>0</v>
      </c>
      <c r="V91" s="1094">
        <v>0</v>
      </c>
      <c r="W91" s="1094">
        <v>0</v>
      </c>
      <c r="X91" s="1094">
        <v>0</v>
      </c>
      <c r="Y91" s="1094">
        <v>0</v>
      </c>
      <c r="Z91" s="1094">
        <v>0</v>
      </c>
      <c r="AA91" s="1095">
        <v>0</v>
      </c>
      <c r="AB91" s="1095">
        <v>0</v>
      </c>
      <c r="AC91" s="1095">
        <v>0</v>
      </c>
      <c r="AD91" s="1095">
        <v>0</v>
      </c>
      <c r="AE91" s="1095">
        <v>0</v>
      </c>
      <c r="AF91" s="1095">
        <v>0</v>
      </c>
      <c r="AG91" s="1095">
        <v>0</v>
      </c>
      <c r="AH91" s="1095">
        <v>0</v>
      </c>
      <c r="AI91" s="1095">
        <v>0</v>
      </c>
      <c r="AJ91" s="1095">
        <v>0</v>
      </c>
      <c r="AK91" s="1095">
        <v>0</v>
      </c>
      <c r="AL91" s="1095">
        <v>0</v>
      </c>
      <c r="AM91" s="1095">
        <v>0</v>
      </c>
      <c r="AN91" s="1095">
        <v>0</v>
      </c>
      <c r="AO91" s="1095">
        <v>0</v>
      </c>
      <c r="AP91" s="1095">
        <v>0</v>
      </c>
      <c r="AQ91" s="1095">
        <v>0</v>
      </c>
      <c r="AR91" s="1095">
        <v>0</v>
      </c>
      <c r="AS91" s="1095">
        <v>0</v>
      </c>
      <c r="AT91" s="1095">
        <v>0</v>
      </c>
      <c r="AU91" s="1095">
        <v>0</v>
      </c>
    </row>
    <row r="92" spans="1:47" s="1077" customFormat="1" x14ac:dyDescent="0.25">
      <c r="A92" s="99">
        <v>325</v>
      </c>
      <c r="B92" s="1088"/>
      <c r="C92" s="1084">
        <v>325</v>
      </c>
      <c r="D92" s="1085" t="s">
        <v>261</v>
      </c>
      <c r="E92" s="1091">
        <v>0</v>
      </c>
      <c r="F92" s="1069" t="s">
        <v>1560</v>
      </c>
      <c r="G92" s="1069" t="s">
        <v>1560</v>
      </c>
      <c r="H92" s="1069" t="s">
        <v>1560</v>
      </c>
      <c r="I92" s="1069" t="s">
        <v>1560</v>
      </c>
      <c r="J92" s="1070" t="s">
        <v>1560</v>
      </c>
      <c r="K92" s="1092">
        <v>0</v>
      </c>
      <c r="L92" s="1093">
        <v>0</v>
      </c>
      <c r="M92" s="1093">
        <v>0</v>
      </c>
      <c r="N92" s="1093">
        <v>0</v>
      </c>
      <c r="O92" s="1093">
        <v>0</v>
      </c>
      <c r="P92" s="1093">
        <v>0</v>
      </c>
      <c r="Q92" s="1093">
        <v>0</v>
      </c>
      <c r="R92" s="1093">
        <v>0</v>
      </c>
      <c r="S92" s="1093">
        <v>0</v>
      </c>
      <c r="T92" s="1093">
        <v>0</v>
      </c>
      <c r="U92" s="1093">
        <v>0</v>
      </c>
      <c r="V92" s="1093">
        <v>0</v>
      </c>
      <c r="W92" s="1093">
        <v>0</v>
      </c>
      <c r="X92" s="1093">
        <v>0</v>
      </c>
      <c r="Y92" s="1093">
        <v>0</v>
      </c>
      <c r="Z92" s="1093">
        <v>0</v>
      </c>
      <c r="AA92" s="1092">
        <v>0</v>
      </c>
      <c r="AB92" s="1092">
        <v>0</v>
      </c>
      <c r="AC92" s="1092">
        <v>0</v>
      </c>
      <c r="AD92" s="1092">
        <v>0</v>
      </c>
      <c r="AE92" s="1092">
        <v>0</v>
      </c>
      <c r="AF92" s="1092">
        <v>0</v>
      </c>
      <c r="AG92" s="1092">
        <v>0</v>
      </c>
      <c r="AH92" s="1092">
        <v>0</v>
      </c>
      <c r="AI92" s="1092">
        <v>0</v>
      </c>
      <c r="AJ92" s="1092">
        <v>0</v>
      </c>
      <c r="AK92" s="1092">
        <v>0</v>
      </c>
      <c r="AL92" s="1092">
        <v>0</v>
      </c>
      <c r="AM92" s="1092">
        <v>0</v>
      </c>
      <c r="AN92" s="1092">
        <v>0</v>
      </c>
      <c r="AO92" s="1092">
        <v>0</v>
      </c>
      <c r="AP92" s="1092">
        <v>0</v>
      </c>
      <c r="AQ92" s="1092">
        <v>0</v>
      </c>
      <c r="AR92" s="1092">
        <v>0</v>
      </c>
      <c r="AS92" s="1092">
        <v>0</v>
      </c>
      <c r="AT92" s="1092">
        <v>0</v>
      </c>
      <c r="AU92" s="1092">
        <v>0</v>
      </c>
    </row>
    <row r="93" spans="1:47" s="1077" customFormat="1" x14ac:dyDescent="0.25">
      <c r="A93" s="99">
        <v>326</v>
      </c>
      <c r="B93" s="1088"/>
      <c r="C93" s="1084">
        <v>326</v>
      </c>
      <c r="D93" s="1085" t="e">
        <v>#VALUE!</v>
      </c>
      <c r="E93" s="1091">
        <v>0</v>
      </c>
      <c r="F93" s="1071">
        <v>0</v>
      </c>
      <c r="G93" s="1071">
        <v>0</v>
      </c>
      <c r="H93" s="1071">
        <v>0</v>
      </c>
      <c r="I93" s="1071">
        <v>0</v>
      </c>
      <c r="J93" s="1072">
        <v>0</v>
      </c>
      <c r="K93" s="1096">
        <v>0</v>
      </c>
      <c r="L93" s="1097">
        <v>0</v>
      </c>
      <c r="M93" s="1097">
        <v>0</v>
      </c>
      <c r="N93" s="1097">
        <v>0</v>
      </c>
      <c r="O93" s="1097">
        <v>0</v>
      </c>
      <c r="P93" s="1097">
        <v>0</v>
      </c>
      <c r="Q93" s="1097">
        <v>0</v>
      </c>
      <c r="R93" s="1097">
        <v>0</v>
      </c>
      <c r="S93" s="1097">
        <v>0</v>
      </c>
      <c r="T93" s="1097">
        <v>0</v>
      </c>
      <c r="U93" s="1097">
        <v>0</v>
      </c>
      <c r="V93" s="1097">
        <v>0</v>
      </c>
      <c r="W93" s="1097">
        <v>0</v>
      </c>
      <c r="X93" s="1097">
        <v>0</v>
      </c>
      <c r="Y93" s="1097">
        <v>0</v>
      </c>
      <c r="Z93" s="1097">
        <v>0</v>
      </c>
      <c r="AA93" s="1096">
        <v>0</v>
      </c>
      <c r="AB93" s="1096">
        <v>0</v>
      </c>
      <c r="AC93" s="1096">
        <v>0</v>
      </c>
      <c r="AD93" s="1096">
        <v>0</v>
      </c>
      <c r="AE93" s="1096">
        <v>0</v>
      </c>
      <c r="AF93" s="1096">
        <v>0</v>
      </c>
      <c r="AG93" s="1096">
        <v>0</v>
      </c>
      <c r="AH93" s="1096">
        <v>0</v>
      </c>
      <c r="AI93" s="1096">
        <v>0</v>
      </c>
      <c r="AJ93" s="1096">
        <v>0</v>
      </c>
      <c r="AK93" s="1096">
        <v>0</v>
      </c>
      <c r="AL93" s="1096">
        <v>0</v>
      </c>
      <c r="AM93" s="1096">
        <v>0</v>
      </c>
      <c r="AN93" s="1096">
        <v>0</v>
      </c>
      <c r="AO93" s="1096">
        <v>0</v>
      </c>
      <c r="AP93" s="1096">
        <v>0</v>
      </c>
      <c r="AQ93" s="1096">
        <v>0</v>
      </c>
      <c r="AR93" s="1096">
        <v>0</v>
      </c>
      <c r="AS93" s="1096">
        <v>0</v>
      </c>
      <c r="AT93" s="1096">
        <v>0</v>
      </c>
      <c r="AU93" s="1096">
        <v>0</v>
      </c>
    </row>
    <row r="94" spans="1:47" s="1077" customFormat="1" x14ac:dyDescent="0.25">
      <c r="A94" s="99">
        <v>327</v>
      </c>
      <c r="B94" s="1088"/>
      <c r="C94" s="1084">
        <v>327</v>
      </c>
      <c r="D94" s="1085" t="s">
        <v>1481</v>
      </c>
      <c r="E94" s="1091">
        <v>0</v>
      </c>
      <c r="F94" s="1071">
        <v>0</v>
      </c>
      <c r="G94" s="1071">
        <v>0</v>
      </c>
      <c r="H94" s="1071">
        <v>0</v>
      </c>
      <c r="I94" s="1071">
        <v>0</v>
      </c>
      <c r="J94" s="1072">
        <v>0</v>
      </c>
      <c r="K94" s="1096">
        <v>0</v>
      </c>
      <c r="L94" s="1097">
        <v>0</v>
      </c>
      <c r="M94" s="1097">
        <v>0</v>
      </c>
      <c r="N94" s="1097">
        <v>0</v>
      </c>
      <c r="O94" s="1097">
        <v>0</v>
      </c>
      <c r="P94" s="1097">
        <v>0</v>
      </c>
      <c r="Q94" s="1097">
        <v>0</v>
      </c>
      <c r="R94" s="1097">
        <v>0</v>
      </c>
      <c r="S94" s="1097">
        <v>0</v>
      </c>
      <c r="T94" s="1097">
        <v>0</v>
      </c>
      <c r="U94" s="1097">
        <v>0</v>
      </c>
      <c r="V94" s="1097">
        <v>0</v>
      </c>
      <c r="W94" s="1097">
        <v>0</v>
      </c>
      <c r="X94" s="1097">
        <v>0</v>
      </c>
      <c r="Y94" s="1097">
        <v>0</v>
      </c>
      <c r="Z94" s="1097">
        <v>0</v>
      </c>
      <c r="AA94" s="1096">
        <v>0</v>
      </c>
      <c r="AB94" s="1096">
        <v>0</v>
      </c>
      <c r="AC94" s="1096">
        <v>0</v>
      </c>
      <c r="AD94" s="1096">
        <v>0</v>
      </c>
      <c r="AE94" s="1096">
        <v>0</v>
      </c>
      <c r="AF94" s="1096">
        <v>0</v>
      </c>
      <c r="AG94" s="1096">
        <v>0</v>
      </c>
      <c r="AH94" s="1096">
        <v>0</v>
      </c>
      <c r="AI94" s="1096">
        <v>0</v>
      </c>
      <c r="AJ94" s="1096">
        <v>0</v>
      </c>
      <c r="AK94" s="1096">
        <v>0</v>
      </c>
      <c r="AL94" s="1096">
        <v>0</v>
      </c>
      <c r="AM94" s="1096">
        <v>0</v>
      </c>
      <c r="AN94" s="1096">
        <v>0</v>
      </c>
      <c r="AO94" s="1096">
        <v>0</v>
      </c>
      <c r="AP94" s="1096">
        <v>0</v>
      </c>
      <c r="AQ94" s="1096">
        <v>0</v>
      </c>
      <c r="AR94" s="1096">
        <v>0</v>
      </c>
      <c r="AS94" s="1096">
        <v>0</v>
      </c>
      <c r="AT94" s="1096">
        <v>0</v>
      </c>
      <c r="AU94" s="1096">
        <v>0</v>
      </c>
    </row>
    <row r="95" spans="1:47" s="1077" customFormat="1" ht="30" x14ac:dyDescent="0.25">
      <c r="A95" s="99">
        <v>328</v>
      </c>
      <c r="B95" s="1088"/>
      <c r="C95" s="1084">
        <v>328</v>
      </c>
      <c r="D95" s="1085" t="s">
        <v>1482</v>
      </c>
      <c r="E95" s="1091">
        <v>0</v>
      </c>
      <c r="F95" s="1071">
        <v>0</v>
      </c>
      <c r="G95" s="1071">
        <v>0</v>
      </c>
      <c r="H95" s="1071">
        <v>0</v>
      </c>
      <c r="I95" s="1071">
        <v>0</v>
      </c>
      <c r="J95" s="1072">
        <v>0</v>
      </c>
      <c r="K95" s="1096">
        <v>0</v>
      </c>
      <c r="L95" s="1097">
        <v>0</v>
      </c>
      <c r="M95" s="1097">
        <v>0</v>
      </c>
      <c r="N95" s="1097">
        <v>0</v>
      </c>
      <c r="O95" s="1097">
        <v>0</v>
      </c>
      <c r="P95" s="1097">
        <v>0</v>
      </c>
      <c r="Q95" s="1097">
        <v>0</v>
      </c>
      <c r="R95" s="1097">
        <v>0</v>
      </c>
      <c r="S95" s="1097">
        <v>0</v>
      </c>
      <c r="T95" s="1097">
        <v>0</v>
      </c>
      <c r="U95" s="1097">
        <v>0</v>
      </c>
      <c r="V95" s="1097">
        <v>0</v>
      </c>
      <c r="W95" s="1097">
        <v>0</v>
      </c>
      <c r="X95" s="1097">
        <v>0</v>
      </c>
      <c r="Y95" s="1097">
        <v>0</v>
      </c>
      <c r="Z95" s="1097">
        <v>0</v>
      </c>
      <c r="AA95" s="1096">
        <v>0</v>
      </c>
      <c r="AB95" s="1096">
        <v>0</v>
      </c>
      <c r="AC95" s="1096">
        <v>0</v>
      </c>
      <c r="AD95" s="1096">
        <v>0</v>
      </c>
      <c r="AE95" s="1096">
        <v>0</v>
      </c>
      <c r="AF95" s="1096">
        <v>0</v>
      </c>
      <c r="AG95" s="1096">
        <v>0</v>
      </c>
      <c r="AH95" s="1096">
        <v>0</v>
      </c>
      <c r="AI95" s="1096">
        <v>0</v>
      </c>
      <c r="AJ95" s="1096">
        <v>0</v>
      </c>
      <c r="AK95" s="1096">
        <v>0</v>
      </c>
      <c r="AL95" s="1096">
        <v>0</v>
      </c>
      <c r="AM95" s="1096">
        <v>0</v>
      </c>
      <c r="AN95" s="1096">
        <v>0</v>
      </c>
      <c r="AO95" s="1096">
        <v>0</v>
      </c>
      <c r="AP95" s="1096">
        <v>0</v>
      </c>
      <c r="AQ95" s="1096">
        <v>0</v>
      </c>
      <c r="AR95" s="1096">
        <v>0</v>
      </c>
      <c r="AS95" s="1096">
        <v>0</v>
      </c>
      <c r="AT95" s="1096">
        <v>0</v>
      </c>
      <c r="AU95" s="1096">
        <v>0</v>
      </c>
    </row>
    <row r="96" spans="1:47" s="1077" customFormat="1" ht="30" x14ac:dyDescent="0.25">
      <c r="A96" s="99">
        <v>330</v>
      </c>
      <c r="B96" s="1088"/>
      <c r="C96" s="1084">
        <v>330</v>
      </c>
      <c r="D96" s="1085" t="s">
        <v>1483</v>
      </c>
      <c r="E96" s="1091">
        <v>0</v>
      </c>
      <c r="F96" s="1071">
        <v>0</v>
      </c>
      <c r="G96" s="1071">
        <v>0</v>
      </c>
      <c r="H96" s="1071">
        <v>0</v>
      </c>
      <c r="I96" s="1071">
        <v>0</v>
      </c>
      <c r="J96" s="1072">
        <v>0</v>
      </c>
      <c r="K96" s="1096">
        <v>0</v>
      </c>
      <c r="L96" s="1097">
        <v>0</v>
      </c>
      <c r="M96" s="1097">
        <v>0</v>
      </c>
      <c r="N96" s="1097">
        <v>0</v>
      </c>
      <c r="O96" s="1097">
        <v>0</v>
      </c>
      <c r="P96" s="1097">
        <v>0</v>
      </c>
      <c r="Q96" s="1097">
        <v>0</v>
      </c>
      <c r="R96" s="1097">
        <v>0</v>
      </c>
      <c r="S96" s="1097">
        <v>0</v>
      </c>
      <c r="T96" s="1097">
        <v>0</v>
      </c>
      <c r="U96" s="1097">
        <v>0</v>
      </c>
      <c r="V96" s="1097">
        <v>0</v>
      </c>
      <c r="W96" s="1097">
        <v>0</v>
      </c>
      <c r="X96" s="1097">
        <v>0</v>
      </c>
      <c r="Y96" s="1097">
        <v>0</v>
      </c>
      <c r="Z96" s="1097">
        <v>0</v>
      </c>
      <c r="AA96" s="1096">
        <v>0</v>
      </c>
      <c r="AB96" s="1096">
        <v>0</v>
      </c>
      <c r="AC96" s="1096">
        <v>0</v>
      </c>
      <c r="AD96" s="1096">
        <v>0</v>
      </c>
      <c r="AE96" s="1096">
        <v>0</v>
      </c>
      <c r="AF96" s="1096">
        <v>0</v>
      </c>
      <c r="AG96" s="1096">
        <v>0</v>
      </c>
      <c r="AH96" s="1096">
        <v>0</v>
      </c>
      <c r="AI96" s="1096">
        <v>0</v>
      </c>
      <c r="AJ96" s="1096">
        <v>0</v>
      </c>
      <c r="AK96" s="1096">
        <v>0</v>
      </c>
      <c r="AL96" s="1096">
        <v>0</v>
      </c>
      <c r="AM96" s="1096">
        <v>0</v>
      </c>
      <c r="AN96" s="1096">
        <v>0</v>
      </c>
      <c r="AO96" s="1096">
        <v>0</v>
      </c>
      <c r="AP96" s="1096">
        <v>0</v>
      </c>
      <c r="AQ96" s="1096">
        <v>0</v>
      </c>
      <c r="AR96" s="1096">
        <v>0</v>
      </c>
      <c r="AS96" s="1096">
        <v>0</v>
      </c>
      <c r="AT96" s="1096">
        <v>0</v>
      </c>
      <c r="AU96" s="1096">
        <v>0</v>
      </c>
    </row>
    <row r="97" spans="1:47" s="1077" customFormat="1" ht="30" x14ac:dyDescent="0.25">
      <c r="A97" s="99">
        <v>331</v>
      </c>
      <c r="B97" s="1088"/>
      <c r="C97" s="1084">
        <v>331</v>
      </c>
      <c r="D97" s="1085" t="s">
        <v>1484</v>
      </c>
      <c r="E97" s="1091">
        <v>0</v>
      </c>
      <c r="F97" s="1071">
        <v>0</v>
      </c>
      <c r="G97" s="1071">
        <v>0</v>
      </c>
      <c r="H97" s="1071">
        <v>0</v>
      </c>
      <c r="I97" s="1071">
        <v>0</v>
      </c>
      <c r="J97" s="1072">
        <v>0</v>
      </c>
      <c r="K97" s="1096">
        <v>0</v>
      </c>
      <c r="L97" s="1097">
        <v>0</v>
      </c>
      <c r="M97" s="1097">
        <v>0</v>
      </c>
      <c r="N97" s="1097">
        <v>0</v>
      </c>
      <c r="O97" s="1097">
        <v>0</v>
      </c>
      <c r="P97" s="1097">
        <v>0</v>
      </c>
      <c r="Q97" s="1097">
        <v>0</v>
      </c>
      <c r="R97" s="1097">
        <v>0</v>
      </c>
      <c r="S97" s="1097">
        <v>0</v>
      </c>
      <c r="T97" s="1097">
        <v>0</v>
      </c>
      <c r="U97" s="1097">
        <v>0</v>
      </c>
      <c r="V97" s="1097">
        <v>0</v>
      </c>
      <c r="W97" s="1097">
        <v>0</v>
      </c>
      <c r="X97" s="1097">
        <v>0</v>
      </c>
      <c r="Y97" s="1097">
        <v>0</v>
      </c>
      <c r="Z97" s="1097">
        <v>0</v>
      </c>
      <c r="AA97" s="1096">
        <v>0</v>
      </c>
      <c r="AB97" s="1096">
        <v>0</v>
      </c>
      <c r="AC97" s="1096">
        <v>0</v>
      </c>
      <c r="AD97" s="1096">
        <v>0</v>
      </c>
      <c r="AE97" s="1096">
        <v>0</v>
      </c>
      <c r="AF97" s="1096">
        <v>0</v>
      </c>
      <c r="AG97" s="1096">
        <v>0</v>
      </c>
      <c r="AH97" s="1096">
        <v>0</v>
      </c>
      <c r="AI97" s="1096">
        <v>0</v>
      </c>
      <c r="AJ97" s="1096">
        <v>0</v>
      </c>
      <c r="AK97" s="1096">
        <v>0</v>
      </c>
      <c r="AL97" s="1096">
        <v>0</v>
      </c>
      <c r="AM97" s="1096">
        <v>0</v>
      </c>
      <c r="AN97" s="1096">
        <v>0</v>
      </c>
      <c r="AO97" s="1096">
        <v>0</v>
      </c>
      <c r="AP97" s="1096">
        <v>0</v>
      </c>
      <c r="AQ97" s="1096">
        <v>0</v>
      </c>
      <c r="AR97" s="1096">
        <v>0</v>
      </c>
      <c r="AS97" s="1096">
        <v>0</v>
      </c>
      <c r="AT97" s="1096">
        <v>0</v>
      </c>
      <c r="AU97" s="1096">
        <v>0</v>
      </c>
    </row>
    <row r="98" spans="1:47" s="1077" customFormat="1" ht="30" x14ac:dyDescent="0.25">
      <c r="A98" s="99">
        <v>332</v>
      </c>
      <c r="B98" s="1088"/>
      <c r="C98" s="1084">
        <v>332</v>
      </c>
      <c r="D98" s="1085" t="s">
        <v>1485</v>
      </c>
      <c r="E98" s="1091">
        <v>0</v>
      </c>
      <c r="F98" s="1071">
        <v>0</v>
      </c>
      <c r="G98" s="1071">
        <v>0</v>
      </c>
      <c r="H98" s="1071">
        <v>0</v>
      </c>
      <c r="I98" s="1071">
        <v>0</v>
      </c>
      <c r="J98" s="1072">
        <v>0</v>
      </c>
      <c r="K98" s="1096">
        <v>0</v>
      </c>
      <c r="L98" s="1097">
        <v>0</v>
      </c>
      <c r="M98" s="1097">
        <v>0</v>
      </c>
      <c r="N98" s="1097">
        <v>0</v>
      </c>
      <c r="O98" s="1097">
        <v>0</v>
      </c>
      <c r="P98" s="1097">
        <v>0</v>
      </c>
      <c r="Q98" s="1097">
        <v>0</v>
      </c>
      <c r="R98" s="1097">
        <v>0</v>
      </c>
      <c r="S98" s="1097">
        <v>0</v>
      </c>
      <c r="T98" s="1097">
        <v>0</v>
      </c>
      <c r="U98" s="1097">
        <v>0</v>
      </c>
      <c r="V98" s="1097">
        <v>0</v>
      </c>
      <c r="W98" s="1097">
        <v>0</v>
      </c>
      <c r="X98" s="1097">
        <v>0</v>
      </c>
      <c r="Y98" s="1097">
        <v>0</v>
      </c>
      <c r="Z98" s="1097">
        <v>0</v>
      </c>
      <c r="AA98" s="1096">
        <v>0</v>
      </c>
      <c r="AB98" s="1096">
        <v>0</v>
      </c>
      <c r="AC98" s="1096">
        <v>0</v>
      </c>
      <c r="AD98" s="1096">
        <v>0</v>
      </c>
      <c r="AE98" s="1096">
        <v>0</v>
      </c>
      <c r="AF98" s="1096">
        <v>0</v>
      </c>
      <c r="AG98" s="1096">
        <v>0</v>
      </c>
      <c r="AH98" s="1096">
        <v>0</v>
      </c>
      <c r="AI98" s="1096">
        <v>0</v>
      </c>
      <c r="AJ98" s="1096">
        <v>0</v>
      </c>
      <c r="AK98" s="1096">
        <v>0</v>
      </c>
      <c r="AL98" s="1096">
        <v>0</v>
      </c>
      <c r="AM98" s="1096">
        <v>0</v>
      </c>
      <c r="AN98" s="1096">
        <v>0</v>
      </c>
      <c r="AO98" s="1096">
        <v>0</v>
      </c>
      <c r="AP98" s="1096">
        <v>0</v>
      </c>
      <c r="AQ98" s="1096">
        <v>0</v>
      </c>
      <c r="AR98" s="1096">
        <v>0</v>
      </c>
      <c r="AS98" s="1096">
        <v>0</v>
      </c>
      <c r="AT98" s="1096">
        <v>0</v>
      </c>
      <c r="AU98" s="1096">
        <v>0</v>
      </c>
    </row>
    <row r="99" spans="1:47" s="1077" customFormat="1" ht="30" x14ac:dyDescent="0.25">
      <c r="A99" s="99">
        <v>333</v>
      </c>
      <c r="B99" s="1088">
        <v>333</v>
      </c>
      <c r="C99" s="1084">
        <v>333</v>
      </c>
      <c r="D99" s="1085" t="s">
        <v>184</v>
      </c>
      <c r="E99" s="1091">
        <v>0</v>
      </c>
      <c r="F99" s="1071">
        <v>0</v>
      </c>
      <c r="G99" s="1071">
        <v>1501230</v>
      </c>
      <c r="H99" s="1071">
        <v>0</v>
      </c>
      <c r="I99" s="1071">
        <v>0</v>
      </c>
      <c r="J99" s="1072">
        <v>209081</v>
      </c>
      <c r="K99" s="1096">
        <v>1303528</v>
      </c>
      <c r="L99" s="1097">
        <v>0</v>
      </c>
      <c r="M99" s="1097">
        <v>0</v>
      </c>
      <c r="N99" s="1097">
        <v>0</v>
      </c>
      <c r="O99" s="1097">
        <v>0</v>
      </c>
      <c r="P99" s="1097">
        <v>0</v>
      </c>
      <c r="Q99" s="1097">
        <v>0</v>
      </c>
      <c r="R99" s="1097">
        <v>0</v>
      </c>
      <c r="S99" s="1097">
        <v>324494</v>
      </c>
      <c r="T99" s="1097">
        <v>0</v>
      </c>
      <c r="U99" s="1097">
        <v>137757</v>
      </c>
      <c r="V99" s="1097">
        <v>6167983</v>
      </c>
      <c r="W99" s="1097">
        <v>0</v>
      </c>
      <c r="X99" s="1097">
        <v>82524</v>
      </c>
      <c r="Y99" s="1097">
        <v>0</v>
      </c>
      <c r="Z99" s="1097">
        <v>152353</v>
      </c>
      <c r="AA99" s="1096">
        <v>388542</v>
      </c>
      <c r="AB99" s="1096">
        <v>0</v>
      </c>
      <c r="AC99" s="1096">
        <v>52984</v>
      </c>
      <c r="AD99" s="1096">
        <v>167163</v>
      </c>
      <c r="AE99" s="1096">
        <v>122190</v>
      </c>
      <c r="AF99" s="1096">
        <v>9712786</v>
      </c>
      <c r="AG99" s="1096">
        <v>0</v>
      </c>
      <c r="AH99" s="1096">
        <v>113838</v>
      </c>
      <c r="AI99" s="1096">
        <v>0</v>
      </c>
      <c r="AJ99" s="1096">
        <v>8432350</v>
      </c>
      <c r="AK99" s="1096">
        <v>2698536</v>
      </c>
      <c r="AL99" s="1096">
        <v>364292574</v>
      </c>
      <c r="AM99" s="1096">
        <v>1049746</v>
      </c>
      <c r="AN99" s="1096">
        <v>40033</v>
      </c>
      <c r="AO99" s="1096">
        <v>139669</v>
      </c>
      <c r="AP99" s="1096">
        <v>31759</v>
      </c>
      <c r="AQ99" s="1096">
        <v>69287</v>
      </c>
      <c r="AR99" s="1096">
        <v>699021</v>
      </c>
      <c r="AS99" s="1096">
        <v>0</v>
      </c>
      <c r="AT99" s="1096">
        <v>0</v>
      </c>
      <c r="AU99" s="1096">
        <v>160614</v>
      </c>
    </row>
    <row r="100" spans="1:47" s="1077" customFormat="1" ht="30" x14ac:dyDescent="0.25">
      <c r="A100" s="99">
        <v>334</v>
      </c>
      <c r="B100" s="1088">
        <v>334</v>
      </c>
      <c r="C100" s="1084">
        <v>334</v>
      </c>
      <c r="D100" s="1085" t="s">
        <v>276</v>
      </c>
      <c r="E100" s="1091">
        <v>0</v>
      </c>
      <c r="F100" s="1071">
        <v>0</v>
      </c>
      <c r="G100" s="1071">
        <v>18935</v>
      </c>
      <c r="H100" s="1071">
        <v>19126315</v>
      </c>
      <c r="I100" s="1071">
        <v>0</v>
      </c>
      <c r="J100" s="1072">
        <v>1284886</v>
      </c>
      <c r="K100" s="1096">
        <v>665824</v>
      </c>
      <c r="L100" s="1097">
        <v>0</v>
      </c>
      <c r="M100" s="1097">
        <v>0</v>
      </c>
      <c r="N100" s="1097">
        <v>0</v>
      </c>
      <c r="O100" s="1097">
        <v>3828546</v>
      </c>
      <c r="P100" s="1097">
        <v>0</v>
      </c>
      <c r="Q100" s="1097">
        <v>0</v>
      </c>
      <c r="R100" s="1097">
        <v>0</v>
      </c>
      <c r="S100" s="1097">
        <v>715</v>
      </c>
      <c r="T100" s="1097">
        <v>0</v>
      </c>
      <c r="U100" s="1097">
        <v>0</v>
      </c>
      <c r="V100" s="1097">
        <v>0</v>
      </c>
      <c r="W100" s="1097">
        <v>0</v>
      </c>
      <c r="X100" s="1097">
        <v>27742</v>
      </c>
      <c r="Y100" s="1097">
        <v>0</v>
      </c>
      <c r="Z100" s="1097">
        <v>0</v>
      </c>
      <c r="AA100" s="1096">
        <v>2564382</v>
      </c>
      <c r="AB100" s="1096">
        <v>0</v>
      </c>
      <c r="AC100" s="1096">
        <v>410683</v>
      </c>
      <c r="AD100" s="1096">
        <v>0</v>
      </c>
      <c r="AE100" s="1096">
        <v>524792</v>
      </c>
      <c r="AF100" s="1096">
        <v>32084903</v>
      </c>
      <c r="AG100" s="1096">
        <v>0</v>
      </c>
      <c r="AH100" s="1096">
        <v>0</v>
      </c>
      <c r="AI100" s="1096">
        <v>0</v>
      </c>
      <c r="AJ100" s="1096">
        <v>34293896</v>
      </c>
      <c r="AK100" s="1096">
        <v>0</v>
      </c>
      <c r="AL100" s="1096">
        <v>19225346</v>
      </c>
      <c r="AM100" s="1096">
        <v>1783173</v>
      </c>
      <c r="AN100" s="1096">
        <v>850139</v>
      </c>
      <c r="AO100" s="1096">
        <v>44093</v>
      </c>
      <c r="AP100" s="1096">
        <v>79985</v>
      </c>
      <c r="AQ100" s="1096">
        <v>160713</v>
      </c>
      <c r="AR100" s="1096">
        <v>2316561</v>
      </c>
      <c r="AS100" s="1096">
        <v>0</v>
      </c>
      <c r="AT100" s="1096">
        <v>1377580</v>
      </c>
      <c r="AU100" s="1096">
        <v>0</v>
      </c>
    </row>
    <row r="101" spans="1:47" s="1077" customFormat="1" ht="30" x14ac:dyDescent="0.25">
      <c r="A101" s="99">
        <v>335</v>
      </c>
      <c r="B101" s="1088">
        <v>335</v>
      </c>
      <c r="C101" s="1084">
        <v>335</v>
      </c>
      <c r="D101" s="1085" t="s">
        <v>117</v>
      </c>
      <c r="E101" s="1091">
        <v>0</v>
      </c>
      <c r="F101" s="1071">
        <v>0</v>
      </c>
      <c r="G101" s="1071">
        <v>0</v>
      </c>
      <c r="H101" s="1071">
        <v>0</v>
      </c>
      <c r="I101" s="1071">
        <v>0</v>
      </c>
      <c r="J101" s="1072">
        <v>0</v>
      </c>
      <c r="K101" s="1096">
        <v>0</v>
      </c>
      <c r="L101" s="1097">
        <v>0</v>
      </c>
      <c r="M101" s="1097">
        <v>0</v>
      </c>
      <c r="N101" s="1097">
        <v>0</v>
      </c>
      <c r="O101" s="1097">
        <v>0</v>
      </c>
      <c r="P101" s="1097">
        <v>0</v>
      </c>
      <c r="Q101" s="1097">
        <v>0</v>
      </c>
      <c r="R101" s="1097">
        <v>0</v>
      </c>
      <c r="S101" s="1097">
        <v>0</v>
      </c>
      <c r="T101" s="1097">
        <v>0</v>
      </c>
      <c r="U101" s="1097">
        <v>2970</v>
      </c>
      <c r="V101" s="1097">
        <v>0</v>
      </c>
      <c r="W101" s="1097">
        <v>0</v>
      </c>
      <c r="X101" s="1097">
        <v>0</v>
      </c>
      <c r="Y101" s="1097">
        <v>0</v>
      </c>
      <c r="Z101" s="1097">
        <v>0</v>
      </c>
      <c r="AA101" s="1096">
        <v>0</v>
      </c>
      <c r="AB101" s="1096">
        <v>0</v>
      </c>
      <c r="AC101" s="1096">
        <v>0</v>
      </c>
      <c r="AD101" s="1096">
        <v>0</v>
      </c>
      <c r="AE101" s="1096">
        <v>0</v>
      </c>
      <c r="AF101" s="1096">
        <v>1033048</v>
      </c>
      <c r="AG101" s="1096">
        <v>0</v>
      </c>
      <c r="AH101" s="1096">
        <v>0</v>
      </c>
      <c r="AI101" s="1096">
        <v>0</v>
      </c>
      <c r="AJ101" s="1096">
        <v>101226</v>
      </c>
      <c r="AK101" s="1096">
        <v>0</v>
      </c>
      <c r="AL101" s="1096">
        <v>0</v>
      </c>
      <c r="AM101" s="1096">
        <v>0</v>
      </c>
      <c r="AN101" s="1096">
        <v>0</v>
      </c>
      <c r="AO101" s="1096">
        <v>0</v>
      </c>
      <c r="AP101" s="1096">
        <v>0</v>
      </c>
      <c r="AQ101" s="1096">
        <v>0</v>
      </c>
      <c r="AR101" s="1096">
        <v>0</v>
      </c>
      <c r="AS101" s="1096">
        <v>0</v>
      </c>
      <c r="AT101" s="1096">
        <v>0</v>
      </c>
      <c r="AU101" s="1096">
        <v>0</v>
      </c>
    </row>
    <row r="102" spans="1:47" s="1077" customFormat="1" x14ac:dyDescent="0.25">
      <c r="A102" s="99">
        <v>336</v>
      </c>
      <c r="B102" s="1088"/>
      <c r="C102" s="1084">
        <v>336</v>
      </c>
      <c r="D102" s="1085" t="s">
        <v>393</v>
      </c>
      <c r="E102" s="1091">
        <v>0</v>
      </c>
      <c r="F102" s="1071">
        <v>0</v>
      </c>
      <c r="G102" s="1071">
        <v>1202652</v>
      </c>
      <c r="H102" s="1071">
        <v>0</v>
      </c>
      <c r="I102" s="1071">
        <v>0</v>
      </c>
      <c r="J102" s="1072">
        <v>3868</v>
      </c>
      <c r="K102" s="1096">
        <v>58065</v>
      </c>
      <c r="L102" s="1097">
        <v>0</v>
      </c>
      <c r="M102" s="1097">
        <v>0</v>
      </c>
      <c r="N102" s="1097">
        <v>0</v>
      </c>
      <c r="O102" s="1097">
        <v>0</v>
      </c>
      <c r="P102" s="1097">
        <v>0</v>
      </c>
      <c r="Q102" s="1097">
        <v>0</v>
      </c>
      <c r="R102" s="1097">
        <v>0</v>
      </c>
      <c r="S102" s="1097">
        <v>37</v>
      </c>
      <c r="T102" s="1097">
        <v>0</v>
      </c>
      <c r="U102" s="1097">
        <v>2970</v>
      </c>
      <c r="V102" s="1097">
        <v>149372</v>
      </c>
      <c r="W102" s="1097">
        <v>0</v>
      </c>
      <c r="X102" s="1097">
        <v>553</v>
      </c>
      <c r="Y102" s="1097">
        <v>0</v>
      </c>
      <c r="Z102" s="1097">
        <v>136411</v>
      </c>
      <c r="AA102" s="1096">
        <v>0</v>
      </c>
      <c r="AB102" s="1096">
        <v>0</v>
      </c>
      <c r="AC102" s="1096">
        <v>0</v>
      </c>
      <c r="AD102" s="1096">
        <v>0</v>
      </c>
      <c r="AE102" s="1096">
        <v>4069</v>
      </c>
      <c r="AF102" s="1096">
        <v>6200379</v>
      </c>
      <c r="AG102" s="1096">
        <v>0</v>
      </c>
      <c r="AH102" s="1096">
        <v>0</v>
      </c>
      <c r="AI102" s="1096">
        <v>0</v>
      </c>
      <c r="AJ102" s="1096">
        <v>713995</v>
      </c>
      <c r="AK102" s="1096">
        <v>52754</v>
      </c>
      <c r="AL102" s="1096">
        <v>0</v>
      </c>
      <c r="AM102" s="1096">
        <v>0</v>
      </c>
      <c r="AN102" s="1096">
        <v>0</v>
      </c>
      <c r="AO102" s="1096">
        <v>866</v>
      </c>
      <c r="AP102" s="1096">
        <v>368</v>
      </c>
      <c r="AQ102" s="1096">
        <v>12511</v>
      </c>
      <c r="AR102" s="1096">
        <v>133710</v>
      </c>
      <c r="AS102" s="1096">
        <v>0</v>
      </c>
      <c r="AT102" s="1096">
        <v>0</v>
      </c>
      <c r="AU102" s="1096">
        <v>0</v>
      </c>
    </row>
    <row r="103" spans="1:47" s="1077" customFormat="1" ht="45" x14ac:dyDescent="0.25">
      <c r="A103" s="99">
        <v>337</v>
      </c>
      <c r="B103" s="99"/>
      <c r="C103" s="1084">
        <v>337</v>
      </c>
      <c r="D103" s="1085" t="s">
        <v>1486</v>
      </c>
      <c r="E103" s="1091">
        <v>0</v>
      </c>
      <c r="F103" s="1071">
        <v>0</v>
      </c>
      <c r="G103" s="1071">
        <v>0</v>
      </c>
      <c r="H103" s="1071">
        <v>0</v>
      </c>
      <c r="I103" s="1071">
        <v>0</v>
      </c>
      <c r="J103" s="1072">
        <v>0</v>
      </c>
      <c r="K103" s="1096">
        <v>0</v>
      </c>
      <c r="L103" s="1097">
        <v>0</v>
      </c>
      <c r="M103" s="1097">
        <v>0</v>
      </c>
      <c r="N103" s="1097">
        <v>0</v>
      </c>
      <c r="O103" s="1097">
        <v>0</v>
      </c>
      <c r="P103" s="1097">
        <v>0</v>
      </c>
      <c r="Q103" s="1097">
        <v>0</v>
      </c>
      <c r="R103" s="1097">
        <v>0</v>
      </c>
      <c r="S103" s="1097">
        <v>0</v>
      </c>
      <c r="T103" s="1097">
        <v>0</v>
      </c>
      <c r="U103" s="1097">
        <v>0</v>
      </c>
      <c r="V103" s="1097">
        <v>0</v>
      </c>
      <c r="W103" s="1097">
        <v>0</v>
      </c>
      <c r="X103" s="1097">
        <v>0</v>
      </c>
      <c r="Y103" s="1097">
        <v>0</v>
      </c>
      <c r="Z103" s="1097">
        <v>0</v>
      </c>
      <c r="AA103" s="1096">
        <v>0</v>
      </c>
      <c r="AB103" s="1096">
        <v>0</v>
      </c>
      <c r="AC103" s="1096">
        <v>0</v>
      </c>
      <c r="AD103" s="1096">
        <v>0</v>
      </c>
      <c r="AE103" s="1096">
        <v>0</v>
      </c>
      <c r="AF103" s="1096">
        <v>0</v>
      </c>
      <c r="AG103" s="1096">
        <v>0</v>
      </c>
      <c r="AH103" s="1096">
        <v>0</v>
      </c>
      <c r="AI103" s="1096">
        <v>0</v>
      </c>
      <c r="AJ103" s="1096">
        <v>0</v>
      </c>
      <c r="AK103" s="1096">
        <v>0</v>
      </c>
      <c r="AL103" s="1096">
        <v>0</v>
      </c>
      <c r="AM103" s="1096">
        <v>0</v>
      </c>
      <c r="AN103" s="1096">
        <v>0</v>
      </c>
      <c r="AO103" s="1096">
        <v>0</v>
      </c>
      <c r="AP103" s="1096">
        <v>0</v>
      </c>
      <c r="AQ103" s="1096">
        <v>0</v>
      </c>
      <c r="AR103" s="1096">
        <v>0</v>
      </c>
      <c r="AS103" s="1096">
        <v>0</v>
      </c>
      <c r="AT103" s="1096">
        <v>0</v>
      </c>
      <c r="AU103" s="1096">
        <v>0</v>
      </c>
    </row>
    <row r="104" spans="1:47" s="1077" customFormat="1" ht="30" x14ac:dyDescent="0.25">
      <c r="A104" s="99">
        <v>338</v>
      </c>
      <c r="B104" s="1088">
        <v>338</v>
      </c>
      <c r="C104" s="1084">
        <v>338</v>
      </c>
      <c r="D104" s="1085" t="s">
        <v>116</v>
      </c>
      <c r="E104" s="1091">
        <v>0</v>
      </c>
      <c r="F104" s="1071">
        <v>0</v>
      </c>
      <c r="G104" s="1071">
        <v>1202652</v>
      </c>
      <c r="H104" s="1071">
        <v>0</v>
      </c>
      <c r="I104" s="1071">
        <v>0</v>
      </c>
      <c r="J104" s="1072">
        <v>8068</v>
      </c>
      <c r="K104" s="1096">
        <v>2723395</v>
      </c>
      <c r="L104" s="1097">
        <v>0</v>
      </c>
      <c r="M104" s="1097">
        <v>0</v>
      </c>
      <c r="N104" s="1097">
        <v>0</v>
      </c>
      <c r="O104" s="1097">
        <v>0</v>
      </c>
      <c r="P104" s="1097">
        <v>0</v>
      </c>
      <c r="Q104" s="1097">
        <v>0</v>
      </c>
      <c r="R104" s="1097">
        <v>0</v>
      </c>
      <c r="S104" s="1097">
        <v>37</v>
      </c>
      <c r="T104" s="1097">
        <v>0</v>
      </c>
      <c r="U104" s="1097">
        <v>2970</v>
      </c>
      <c r="V104" s="1097">
        <v>149372</v>
      </c>
      <c r="W104" s="1097">
        <v>0</v>
      </c>
      <c r="X104" s="1097">
        <v>56016</v>
      </c>
      <c r="Y104" s="1097">
        <v>0</v>
      </c>
      <c r="Z104" s="1097">
        <v>136411</v>
      </c>
      <c r="AA104" s="1096">
        <v>50457</v>
      </c>
      <c r="AB104" s="1096">
        <v>0</v>
      </c>
      <c r="AC104" s="1096">
        <v>0</v>
      </c>
      <c r="AD104" s="1096">
        <v>4683</v>
      </c>
      <c r="AE104" s="1096">
        <v>88213</v>
      </c>
      <c r="AF104" s="1096">
        <v>99935073</v>
      </c>
      <c r="AG104" s="1096">
        <v>0</v>
      </c>
      <c r="AH104" s="1096">
        <v>0</v>
      </c>
      <c r="AI104" s="1096">
        <v>0</v>
      </c>
      <c r="AJ104" s="1096">
        <v>804068</v>
      </c>
      <c r="AK104" s="1096">
        <v>52754</v>
      </c>
      <c r="AL104" s="1096">
        <v>8744012</v>
      </c>
      <c r="AM104" s="1096">
        <v>754</v>
      </c>
      <c r="AN104" s="1096">
        <v>1468</v>
      </c>
      <c r="AO104" s="1096">
        <v>1466</v>
      </c>
      <c r="AP104" s="1096">
        <v>368</v>
      </c>
      <c r="AQ104" s="1096">
        <v>12511</v>
      </c>
      <c r="AR104" s="1096">
        <v>703080</v>
      </c>
      <c r="AS104" s="1096">
        <v>0</v>
      </c>
      <c r="AT104" s="1096">
        <v>0</v>
      </c>
      <c r="AU104" s="1096">
        <v>0</v>
      </c>
    </row>
    <row r="105" spans="1:47" s="1077" customFormat="1" x14ac:dyDescent="0.25">
      <c r="A105" s="99">
        <v>339</v>
      </c>
      <c r="B105" s="1088">
        <v>339</v>
      </c>
      <c r="C105" s="1084">
        <v>339</v>
      </c>
      <c r="D105" s="1085" t="s">
        <v>190</v>
      </c>
      <c r="E105" s="1091">
        <v>0</v>
      </c>
      <c r="F105" s="1071">
        <v>0</v>
      </c>
      <c r="G105" s="1071">
        <v>7737847</v>
      </c>
      <c r="H105" s="1071">
        <v>0</v>
      </c>
      <c r="I105" s="1071">
        <v>0</v>
      </c>
      <c r="J105" s="1072">
        <v>275</v>
      </c>
      <c r="K105" s="1096">
        <v>0</v>
      </c>
      <c r="L105" s="1097">
        <v>0</v>
      </c>
      <c r="M105" s="1097">
        <v>0</v>
      </c>
      <c r="N105" s="1097">
        <v>0</v>
      </c>
      <c r="O105" s="1097">
        <v>0</v>
      </c>
      <c r="P105" s="1097">
        <v>0</v>
      </c>
      <c r="Q105" s="1097">
        <v>0</v>
      </c>
      <c r="R105" s="1097">
        <v>0</v>
      </c>
      <c r="S105" s="1097">
        <v>0</v>
      </c>
      <c r="T105" s="1097">
        <v>0</v>
      </c>
      <c r="U105" s="1097">
        <v>0</v>
      </c>
      <c r="V105" s="1097">
        <v>0</v>
      </c>
      <c r="W105" s="1097">
        <v>0</v>
      </c>
      <c r="X105" s="1097">
        <v>0</v>
      </c>
      <c r="Y105" s="1097">
        <v>0</v>
      </c>
      <c r="Z105" s="1097">
        <v>0</v>
      </c>
      <c r="AA105" s="1096">
        <v>2575</v>
      </c>
      <c r="AB105" s="1096">
        <v>0</v>
      </c>
      <c r="AC105" s="1096">
        <v>0</v>
      </c>
      <c r="AD105" s="1096">
        <v>0</v>
      </c>
      <c r="AE105" s="1096">
        <v>316558</v>
      </c>
      <c r="AF105" s="1096">
        <v>48321944</v>
      </c>
      <c r="AG105" s="1096">
        <v>0</v>
      </c>
      <c r="AH105" s="1096">
        <v>0</v>
      </c>
      <c r="AI105" s="1096">
        <v>0</v>
      </c>
      <c r="AJ105" s="1096">
        <v>381083</v>
      </c>
      <c r="AK105" s="1096">
        <v>264814</v>
      </c>
      <c r="AL105" s="1096">
        <v>112795</v>
      </c>
      <c r="AM105" s="1096">
        <v>0</v>
      </c>
      <c r="AN105" s="1096">
        <v>0</v>
      </c>
      <c r="AO105" s="1096">
        <v>62282</v>
      </c>
      <c r="AP105" s="1096">
        <v>0</v>
      </c>
      <c r="AQ105" s="1096">
        <v>0</v>
      </c>
      <c r="AR105" s="1096">
        <v>2375664</v>
      </c>
      <c r="AS105" s="1096">
        <v>0</v>
      </c>
      <c r="AT105" s="1096">
        <v>0</v>
      </c>
      <c r="AU105" s="1096">
        <v>0</v>
      </c>
    </row>
    <row r="106" spans="1:47" s="1077" customFormat="1" ht="30" x14ac:dyDescent="0.25">
      <c r="A106" s="99">
        <v>340</v>
      </c>
      <c r="B106" s="99"/>
      <c r="C106" s="1084">
        <v>340</v>
      </c>
      <c r="D106" s="1085" t="s">
        <v>1487</v>
      </c>
      <c r="E106" s="1091">
        <v>0</v>
      </c>
      <c r="F106" s="1071">
        <v>0</v>
      </c>
      <c r="G106" s="1071">
        <v>0</v>
      </c>
      <c r="H106" s="1071">
        <v>0</v>
      </c>
      <c r="I106" s="1071">
        <v>0</v>
      </c>
      <c r="J106" s="1072">
        <v>0</v>
      </c>
      <c r="K106" s="1096">
        <v>0</v>
      </c>
      <c r="L106" s="1097">
        <v>0</v>
      </c>
      <c r="M106" s="1097">
        <v>0</v>
      </c>
      <c r="N106" s="1097">
        <v>0</v>
      </c>
      <c r="O106" s="1097">
        <v>0</v>
      </c>
      <c r="P106" s="1097">
        <v>0</v>
      </c>
      <c r="Q106" s="1097">
        <v>0</v>
      </c>
      <c r="R106" s="1097">
        <v>0</v>
      </c>
      <c r="S106" s="1097">
        <v>0</v>
      </c>
      <c r="T106" s="1097">
        <v>0</v>
      </c>
      <c r="U106" s="1097">
        <v>0</v>
      </c>
      <c r="V106" s="1097">
        <v>0</v>
      </c>
      <c r="W106" s="1097">
        <v>0</v>
      </c>
      <c r="X106" s="1097">
        <v>0</v>
      </c>
      <c r="Y106" s="1097">
        <v>0</v>
      </c>
      <c r="Z106" s="1097">
        <v>0</v>
      </c>
      <c r="AA106" s="1096">
        <v>0</v>
      </c>
      <c r="AB106" s="1096">
        <v>0</v>
      </c>
      <c r="AC106" s="1096">
        <v>0</v>
      </c>
      <c r="AD106" s="1096">
        <v>0</v>
      </c>
      <c r="AE106" s="1096">
        <v>0</v>
      </c>
      <c r="AF106" s="1096">
        <v>0</v>
      </c>
      <c r="AG106" s="1096">
        <v>0</v>
      </c>
      <c r="AH106" s="1096">
        <v>0</v>
      </c>
      <c r="AI106" s="1096">
        <v>0</v>
      </c>
      <c r="AJ106" s="1096">
        <v>0</v>
      </c>
      <c r="AK106" s="1096">
        <v>0</v>
      </c>
      <c r="AL106" s="1096">
        <v>0</v>
      </c>
      <c r="AM106" s="1096">
        <v>0</v>
      </c>
      <c r="AN106" s="1096">
        <v>0</v>
      </c>
      <c r="AO106" s="1096">
        <v>0</v>
      </c>
      <c r="AP106" s="1096">
        <v>0</v>
      </c>
      <c r="AQ106" s="1096">
        <v>0</v>
      </c>
      <c r="AR106" s="1096">
        <v>0</v>
      </c>
      <c r="AS106" s="1096">
        <v>0</v>
      </c>
      <c r="AT106" s="1096">
        <v>0</v>
      </c>
      <c r="AU106" s="1096">
        <v>0</v>
      </c>
    </row>
    <row r="107" spans="1:47" s="1077" customFormat="1" x14ac:dyDescent="0.25">
      <c r="A107" s="99">
        <v>341</v>
      </c>
      <c r="B107" s="1088">
        <v>341</v>
      </c>
      <c r="C107" s="1084">
        <v>341</v>
      </c>
      <c r="D107" s="1085" t="s">
        <v>193</v>
      </c>
      <c r="E107" s="1091">
        <v>0</v>
      </c>
      <c r="F107" s="1071">
        <v>0</v>
      </c>
      <c r="G107" s="1071">
        <v>350549</v>
      </c>
      <c r="H107" s="1071">
        <v>0</v>
      </c>
      <c r="I107" s="1071">
        <v>0</v>
      </c>
      <c r="J107" s="1072">
        <v>336247</v>
      </c>
      <c r="K107" s="1096">
        <v>2721453</v>
      </c>
      <c r="L107" s="1097">
        <v>0</v>
      </c>
      <c r="M107" s="1097">
        <v>0</v>
      </c>
      <c r="N107" s="1097">
        <v>0</v>
      </c>
      <c r="O107" s="1097">
        <v>0</v>
      </c>
      <c r="P107" s="1097">
        <v>0</v>
      </c>
      <c r="Q107" s="1097">
        <v>0</v>
      </c>
      <c r="R107" s="1097">
        <v>0</v>
      </c>
      <c r="S107" s="1097">
        <v>29278</v>
      </c>
      <c r="T107" s="1097">
        <v>0</v>
      </c>
      <c r="U107" s="1097">
        <v>93638</v>
      </c>
      <c r="V107" s="1097">
        <v>2445050</v>
      </c>
      <c r="W107" s="1097">
        <v>0</v>
      </c>
      <c r="X107" s="1097">
        <v>24</v>
      </c>
      <c r="Y107" s="1097">
        <v>0</v>
      </c>
      <c r="Z107" s="1097">
        <v>170</v>
      </c>
      <c r="AA107" s="1096">
        <v>334644</v>
      </c>
      <c r="AB107" s="1096">
        <v>0</v>
      </c>
      <c r="AC107" s="1096">
        <v>125775</v>
      </c>
      <c r="AD107" s="1096">
        <v>75457</v>
      </c>
      <c r="AE107" s="1096">
        <v>334316</v>
      </c>
      <c r="AF107" s="1096">
        <v>14892443</v>
      </c>
      <c r="AG107" s="1096">
        <v>0</v>
      </c>
      <c r="AH107" s="1096">
        <v>17029</v>
      </c>
      <c r="AI107" s="1096">
        <v>0</v>
      </c>
      <c r="AJ107" s="1096">
        <v>3683277</v>
      </c>
      <c r="AK107" s="1096">
        <v>2173187</v>
      </c>
      <c r="AL107" s="1096">
        <v>169279193</v>
      </c>
      <c r="AM107" s="1096">
        <v>212423</v>
      </c>
      <c r="AN107" s="1096">
        <v>32815</v>
      </c>
      <c r="AO107" s="1096">
        <v>1648</v>
      </c>
      <c r="AP107" s="1096">
        <v>7470</v>
      </c>
      <c r="AQ107" s="1096">
        <v>48489</v>
      </c>
      <c r="AR107" s="1096">
        <v>161273</v>
      </c>
      <c r="AS107" s="1096">
        <v>0</v>
      </c>
      <c r="AT107" s="1096">
        <v>0</v>
      </c>
      <c r="AU107" s="1096">
        <v>98</v>
      </c>
    </row>
    <row r="108" spans="1:47" s="1077" customFormat="1" ht="30" x14ac:dyDescent="0.25">
      <c r="A108" s="99">
        <v>342</v>
      </c>
      <c r="B108" s="99"/>
      <c r="C108" s="1084">
        <v>342</v>
      </c>
      <c r="D108" s="1085" t="s">
        <v>394</v>
      </c>
      <c r="E108" s="1091">
        <v>0</v>
      </c>
      <c r="F108" s="1071">
        <v>0</v>
      </c>
      <c r="G108" s="1071">
        <v>0</v>
      </c>
      <c r="H108" s="1071">
        <v>0</v>
      </c>
      <c r="I108" s="1071">
        <v>0</v>
      </c>
      <c r="J108" s="1072">
        <v>0</v>
      </c>
      <c r="K108" s="1096">
        <v>0</v>
      </c>
      <c r="L108" s="1097">
        <v>0</v>
      </c>
      <c r="M108" s="1097">
        <v>0</v>
      </c>
      <c r="N108" s="1097">
        <v>0</v>
      </c>
      <c r="O108" s="1097">
        <v>0</v>
      </c>
      <c r="P108" s="1097">
        <v>0</v>
      </c>
      <c r="Q108" s="1097">
        <v>0</v>
      </c>
      <c r="R108" s="1097">
        <v>0</v>
      </c>
      <c r="S108" s="1097">
        <v>0</v>
      </c>
      <c r="T108" s="1097">
        <v>0</v>
      </c>
      <c r="U108" s="1097">
        <v>0</v>
      </c>
      <c r="V108" s="1097">
        <v>0</v>
      </c>
      <c r="W108" s="1097">
        <v>0</v>
      </c>
      <c r="X108" s="1097">
        <v>0</v>
      </c>
      <c r="Y108" s="1097">
        <v>0</v>
      </c>
      <c r="Z108" s="1097">
        <v>0</v>
      </c>
      <c r="AA108" s="1096">
        <v>0</v>
      </c>
      <c r="AB108" s="1096">
        <v>0</v>
      </c>
      <c r="AC108" s="1096">
        <v>0</v>
      </c>
      <c r="AD108" s="1096">
        <v>0</v>
      </c>
      <c r="AE108" s="1096">
        <v>0</v>
      </c>
      <c r="AF108" s="1096">
        <v>0</v>
      </c>
      <c r="AG108" s="1096">
        <v>0</v>
      </c>
      <c r="AH108" s="1096">
        <v>0</v>
      </c>
      <c r="AI108" s="1096">
        <v>0</v>
      </c>
      <c r="AJ108" s="1096">
        <v>0</v>
      </c>
      <c r="AK108" s="1096">
        <v>0</v>
      </c>
      <c r="AL108" s="1096">
        <v>0</v>
      </c>
      <c r="AM108" s="1096">
        <v>0</v>
      </c>
      <c r="AN108" s="1096">
        <v>0</v>
      </c>
      <c r="AO108" s="1096">
        <v>0</v>
      </c>
      <c r="AP108" s="1096">
        <v>0</v>
      </c>
      <c r="AQ108" s="1096">
        <v>0</v>
      </c>
      <c r="AR108" s="1096">
        <v>0</v>
      </c>
      <c r="AS108" s="1096">
        <v>0</v>
      </c>
      <c r="AT108" s="1096">
        <v>0</v>
      </c>
      <c r="AU108" s="1096">
        <v>0</v>
      </c>
    </row>
    <row r="109" spans="1:47" s="1077" customFormat="1" ht="30" x14ac:dyDescent="0.25">
      <c r="A109" s="99">
        <v>343</v>
      </c>
      <c r="B109" s="99"/>
      <c r="C109" s="1084">
        <v>343</v>
      </c>
      <c r="D109" s="1085" t="s">
        <v>1488</v>
      </c>
      <c r="E109" s="1091">
        <v>0</v>
      </c>
      <c r="F109" s="1071">
        <v>0</v>
      </c>
      <c r="G109" s="1071">
        <v>0</v>
      </c>
      <c r="H109" s="1071">
        <v>0</v>
      </c>
      <c r="I109" s="1071">
        <v>0</v>
      </c>
      <c r="J109" s="1072">
        <v>0</v>
      </c>
      <c r="K109" s="1096">
        <v>0</v>
      </c>
      <c r="L109" s="1097">
        <v>0</v>
      </c>
      <c r="M109" s="1097">
        <v>0</v>
      </c>
      <c r="N109" s="1097">
        <v>0</v>
      </c>
      <c r="O109" s="1097">
        <v>0</v>
      </c>
      <c r="P109" s="1097">
        <v>0</v>
      </c>
      <c r="Q109" s="1097">
        <v>0</v>
      </c>
      <c r="R109" s="1097">
        <v>0</v>
      </c>
      <c r="S109" s="1097">
        <v>0</v>
      </c>
      <c r="T109" s="1097">
        <v>0</v>
      </c>
      <c r="U109" s="1097">
        <v>0</v>
      </c>
      <c r="V109" s="1097">
        <v>0</v>
      </c>
      <c r="W109" s="1097">
        <v>0</v>
      </c>
      <c r="X109" s="1097">
        <v>0</v>
      </c>
      <c r="Y109" s="1097">
        <v>0</v>
      </c>
      <c r="Z109" s="1097">
        <v>0</v>
      </c>
      <c r="AA109" s="1096">
        <v>0</v>
      </c>
      <c r="AB109" s="1096">
        <v>0</v>
      </c>
      <c r="AC109" s="1096">
        <v>0</v>
      </c>
      <c r="AD109" s="1096">
        <v>0</v>
      </c>
      <c r="AE109" s="1096">
        <v>0</v>
      </c>
      <c r="AF109" s="1096">
        <v>0</v>
      </c>
      <c r="AG109" s="1096">
        <v>0</v>
      </c>
      <c r="AH109" s="1096">
        <v>0</v>
      </c>
      <c r="AI109" s="1096">
        <v>0</v>
      </c>
      <c r="AJ109" s="1096">
        <v>0</v>
      </c>
      <c r="AK109" s="1096">
        <v>0</v>
      </c>
      <c r="AL109" s="1096">
        <v>0</v>
      </c>
      <c r="AM109" s="1096">
        <v>0</v>
      </c>
      <c r="AN109" s="1096">
        <v>0</v>
      </c>
      <c r="AO109" s="1096">
        <v>0</v>
      </c>
      <c r="AP109" s="1096">
        <v>0</v>
      </c>
      <c r="AQ109" s="1096">
        <v>0</v>
      </c>
      <c r="AR109" s="1096">
        <v>0</v>
      </c>
      <c r="AS109" s="1096">
        <v>0</v>
      </c>
      <c r="AT109" s="1096">
        <v>0</v>
      </c>
      <c r="AU109" s="1096">
        <v>0</v>
      </c>
    </row>
    <row r="110" spans="1:47" s="1077" customFormat="1" ht="30" x14ac:dyDescent="0.25">
      <c r="A110" s="99">
        <v>344</v>
      </c>
      <c r="B110" s="99"/>
      <c r="C110" s="1084">
        <v>344</v>
      </c>
      <c r="D110" s="1085" t="s">
        <v>1489</v>
      </c>
      <c r="E110" s="1091">
        <v>0</v>
      </c>
      <c r="F110" s="1071">
        <v>0</v>
      </c>
      <c r="G110" s="1071">
        <v>0</v>
      </c>
      <c r="H110" s="1071">
        <v>0</v>
      </c>
      <c r="I110" s="1071">
        <v>0</v>
      </c>
      <c r="J110" s="1072">
        <v>0</v>
      </c>
      <c r="K110" s="1096">
        <v>0</v>
      </c>
      <c r="L110" s="1097">
        <v>0</v>
      </c>
      <c r="M110" s="1097">
        <v>0</v>
      </c>
      <c r="N110" s="1097">
        <v>0</v>
      </c>
      <c r="O110" s="1097">
        <v>0</v>
      </c>
      <c r="P110" s="1097">
        <v>0</v>
      </c>
      <c r="Q110" s="1097">
        <v>0</v>
      </c>
      <c r="R110" s="1097">
        <v>0</v>
      </c>
      <c r="S110" s="1097">
        <v>0</v>
      </c>
      <c r="T110" s="1097">
        <v>0</v>
      </c>
      <c r="U110" s="1097">
        <v>0</v>
      </c>
      <c r="V110" s="1097">
        <v>0</v>
      </c>
      <c r="W110" s="1097">
        <v>0</v>
      </c>
      <c r="X110" s="1097">
        <v>0</v>
      </c>
      <c r="Y110" s="1097">
        <v>0</v>
      </c>
      <c r="Z110" s="1097">
        <v>0</v>
      </c>
      <c r="AA110" s="1096">
        <v>0</v>
      </c>
      <c r="AB110" s="1096">
        <v>0</v>
      </c>
      <c r="AC110" s="1096">
        <v>0</v>
      </c>
      <c r="AD110" s="1096">
        <v>0</v>
      </c>
      <c r="AE110" s="1096">
        <v>0</v>
      </c>
      <c r="AF110" s="1096">
        <v>0</v>
      </c>
      <c r="AG110" s="1096">
        <v>0</v>
      </c>
      <c r="AH110" s="1096">
        <v>0</v>
      </c>
      <c r="AI110" s="1096">
        <v>0</v>
      </c>
      <c r="AJ110" s="1096">
        <v>0</v>
      </c>
      <c r="AK110" s="1096">
        <v>0</v>
      </c>
      <c r="AL110" s="1096">
        <v>0</v>
      </c>
      <c r="AM110" s="1096">
        <v>0</v>
      </c>
      <c r="AN110" s="1096">
        <v>0</v>
      </c>
      <c r="AO110" s="1096">
        <v>0</v>
      </c>
      <c r="AP110" s="1096">
        <v>0</v>
      </c>
      <c r="AQ110" s="1096">
        <v>0</v>
      </c>
      <c r="AR110" s="1096">
        <v>0</v>
      </c>
      <c r="AS110" s="1096">
        <v>0</v>
      </c>
      <c r="AT110" s="1096">
        <v>0</v>
      </c>
      <c r="AU110" s="1096">
        <v>0</v>
      </c>
    </row>
    <row r="111" spans="1:47" s="1077" customFormat="1" ht="30" x14ac:dyDescent="0.25">
      <c r="A111" s="99">
        <v>346</v>
      </c>
      <c r="B111" s="99"/>
      <c r="C111" s="1084">
        <v>346</v>
      </c>
      <c r="D111" s="1085" t="s">
        <v>395</v>
      </c>
      <c r="E111" s="1091">
        <v>0</v>
      </c>
      <c r="F111" s="1071">
        <v>0</v>
      </c>
      <c r="G111" s="1071">
        <v>0</v>
      </c>
      <c r="H111" s="1071">
        <v>0</v>
      </c>
      <c r="I111" s="1071">
        <v>0</v>
      </c>
      <c r="J111" s="1072">
        <v>0</v>
      </c>
      <c r="K111" s="1096">
        <v>0</v>
      </c>
      <c r="L111" s="1097">
        <v>0</v>
      </c>
      <c r="M111" s="1097">
        <v>0</v>
      </c>
      <c r="N111" s="1097">
        <v>0</v>
      </c>
      <c r="O111" s="1097">
        <v>0</v>
      </c>
      <c r="P111" s="1097">
        <v>0</v>
      </c>
      <c r="Q111" s="1097">
        <v>0</v>
      </c>
      <c r="R111" s="1097">
        <v>0</v>
      </c>
      <c r="S111" s="1097">
        <v>0</v>
      </c>
      <c r="T111" s="1097">
        <v>0</v>
      </c>
      <c r="U111" s="1097">
        <v>0</v>
      </c>
      <c r="V111" s="1097">
        <v>0</v>
      </c>
      <c r="W111" s="1097">
        <v>0</v>
      </c>
      <c r="X111" s="1097">
        <v>0</v>
      </c>
      <c r="Y111" s="1097">
        <v>0</v>
      </c>
      <c r="Z111" s="1097">
        <v>0</v>
      </c>
      <c r="AA111" s="1096">
        <v>0</v>
      </c>
      <c r="AB111" s="1096">
        <v>0</v>
      </c>
      <c r="AC111" s="1096">
        <v>0</v>
      </c>
      <c r="AD111" s="1096">
        <v>0</v>
      </c>
      <c r="AE111" s="1096">
        <v>0</v>
      </c>
      <c r="AF111" s="1096">
        <v>0</v>
      </c>
      <c r="AG111" s="1096">
        <v>0</v>
      </c>
      <c r="AH111" s="1096">
        <v>0</v>
      </c>
      <c r="AI111" s="1096">
        <v>0</v>
      </c>
      <c r="AJ111" s="1096">
        <v>0</v>
      </c>
      <c r="AK111" s="1096">
        <v>0</v>
      </c>
      <c r="AL111" s="1096">
        <v>0</v>
      </c>
      <c r="AM111" s="1096">
        <v>0</v>
      </c>
      <c r="AN111" s="1096">
        <v>0</v>
      </c>
      <c r="AO111" s="1096">
        <v>0</v>
      </c>
      <c r="AP111" s="1096">
        <v>0</v>
      </c>
      <c r="AQ111" s="1096">
        <v>0</v>
      </c>
      <c r="AR111" s="1096">
        <v>0</v>
      </c>
      <c r="AS111" s="1096">
        <v>0</v>
      </c>
      <c r="AT111" s="1096">
        <v>0</v>
      </c>
      <c r="AU111" s="1096">
        <v>0</v>
      </c>
    </row>
    <row r="112" spans="1:47" s="1077" customFormat="1" ht="30" x14ac:dyDescent="0.25">
      <c r="A112" s="99">
        <v>347</v>
      </c>
      <c r="B112" s="99"/>
      <c r="C112" s="1084">
        <v>347</v>
      </c>
      <c r="D112" s="1085" t="s">
        <v>1490</v>
      </c>
      <c r="E112" s="1091">
        <v>0</v>
      </c>
      <c r="F112" s="1071">
        <v>0</v>
      </c>
      <c r="G112" s="1071">
        <v>0</v>
      </c>
      <c r="H112" s="1071">
        <v>0</v>
      </c>
      <c r="I112" s="1071">
        <v>0</v>
      </c>
      <c r="J112" s="1072">
        <v>0</v>
      </c>
      <c r="K112" s="1096">
        <v>0</v>
      </c>
      <c r="L112" s="1097">
        <v>0</v>
      </c>
      <c r="M112" s="1097">
        <v>0</v>
      </c>
      <c r="N112" s="1097">
        <v>0</v>
      </c>
      <c r="O112" s="1097">
        <v>0</v>
      </c>
      <c r="P112" s="1097">
        <v>0</v>
      </c>
      <c r="Q112" s="1097">
        <v>0</v>
      </c>
      <c r="R112" s="1097">
        <v>0</v>
      </c>
      <c r="S112" s="1097">
        <v>0</v>
      </c>
      <c r="T112" s="1097">
        <v>0</v>
      </c>
      <c r="U112" s="1097">
        <v>0</v>
      </c>
      <c r="V112" s="1097">
        <v>0</v>
      </c>
      <c r="W112" s="1097">
        <v>0</v>
      </c>
      <c r="X112" s="1097">
        <v>0</v>
      </c>
      <c r="Y112" s="1097">
        <v>0</v>
      </c>
      <c r="Z112" s="1097">
        <v>0</v>
      </c>
      <c r="AA112" s="1096">
        <v>0</v>
      </c>
      <c r="AB112" s="1096">
        <v>0</v>
      </c>
      <c r="AC112" s="1096">
        <v>0</v>
      </c>
      <c r="AD112" s="1096">
        <v>0</v>
      </c>
      <c r="AE112" s="1096">
        <v>0</v>
      </c>
      <c r="AF112" s="1096">
        <v>0</v>
      </c>
      <c r="AG112" s="1096">
        <v>0</v>
      </c>
      <c r="AH112" s="1096">
        <v>0</v>
      </c>
      <c r="AI112" s="1096">
        <v>0</v>
      </c>
      <c r="AJ112" s="1096">
        <v>0</v>
      </c>
      <c r="AK112" s="1096">
        <v>0</v>
      </c>
      <c r="AL112" s="1096">
        <v>0</v>
      </c>
      <c r="AM112" s="1096">
        <v>0</v>
      </c>
      <c r="AN112" s="1096">
        <v>0</v>
      </c>
      <c r="AO112" s="1096">
        <v>0</v>
      </c>
      <c r="AP112" s="1096">
        <v>0</v>
      </c>
      <c r="AQ112" s="1096">
        <v>0</v>
      </c>
      <c r="AR112" s="1096">
        <v>0</v>
      </c>
      <c r="AS112" s="1096">
        <v>0</v>
      </c>
      <c r="AT112" s="1096">
        <v>0</v>
      </c>
      <c r="AU112" s="1096">
        <v>0</v>
      </c>
    </row>
    <row r="113" spans="1:47" s="1077" customFormat="1" ht="30" x14ac:dyDescent="0.25">
      <c r="A113" s="99">
        <v>349</v>
      </c>
      <c r="B113" s="99"/>
      <c r="C113" s="1084">
        <v>349</v>
      </c>
      <c r="D113" s="1085" t="s">
        <v>1491</v>
      </c>
      <c r="E113" s="1091">
        <v>0</v>
      </c>
      <c r="F113" s="1071">
        <v>0</v>
      </c>
      <c r="G113" s="1071">
        <v>0</v>
      </c>
      <c r="H113" s="1071">
        <v>0</v>
      </c>
      <c r="I113" s="1071">
        <v>0</v>
      </c>
      <c r="J113" s="1072">
        <v>0</v>
      </c>
      <c r="K113" s="1096">
        <v>0</v>
      </c>
      <c r="L113" s="1097">
        <v>0</v>
      </c>
      <c r="M113" s="1097">
        <v>0</v>
      </c>
      <c r="N113" s="1097">
        <v>0</v>
      </c>
      <c r="O113" s="1097">
        <v>0</v>
      </c>
      <c r="P113" s="1097">
        <v>0</v>
      </c>
      <c r="Q113" s="1097">
        <v>0</v>
      </c>
      <c r="R113" s="1097">
        <v>0</v>
      </c>
      <c r="S113" s="1097">
        <v>0</v>
      </c>
      <c r="T113" s="1097">
        <v>0</v>
      </c>
      <c r="U113" s="1097">
        <v>0</v>
      </c>
      <c r="V113" s="1097">
        <v>0</v>
      </c>
      <c r="W113" s="1097">
        <v>0</v>
      </c>
      <c r="X113" s="1097">
        <v>0</v>
      </c>
      <c r="Y113" s="1097">
        <v>0</v>
      </c>
      <c r="Z113" s="1097">
        <v>0</v>
      </c>
      <c r="AA113" s="1096">
        <v>0</v>
      </c>
      <c r="AB113" s="1096">
        <v>0</v>
      </c>
      <c r="AC113" s="1096">
        <v>0</v>
      </c>
      <c r="AD113" s="1096">
        <v>0</v>
      </c>
      <c r="AE113" s="1096">
        <v>0</v>
      </c>
      <c r="AF113" s="1096">
        <v>0</v>
      </c>
      <c r="AG113" s="1096">
        <v>0</v>
      </c>
      <c r="AH113" s="1096">
        <v>0</v>
      </c>
      <c r="AI113" s="1096">
        <v>0</v>
      </c>
      <c r="AJ113" s="1096">
        <v>0</v>
      </c>
      <c r="AK113" s="1096">
        <v>0</v>
      </c>
      <c r="AL113" s="1096">
        <v>0</v>
      </c>
      <c r="AM113" s="1096">
        <v>0</v>
      </c>
      <c r="AN113" s="1096">
        <v>0</v>
      </c>
      <c r="AO113" s="1096">
        <v>0</v>
      </c>
      <c r="AP113" s="1096">
        <v>0</v>
      </c>
      <c r="AQ113" s="1096">
        <v>0</v>
      </c>
      <c r="AR113" s="1096">
        <v>0</v>
      </c>
      <c r="AS113" s="1096">
        <v>0</v>
      </c>
      <c r="AT113" s="1096">
        <v>0</v>
      </c>
      <c r="AU113" s="1096">
        <v>0</v>
      </c>
    </row>
    <row r="114" spans="1:47" s="1077" customFormat="1" ht="45" x14ac:dyDescent="0.25">
      <c r="A114" s="99">
        <v>350</v>
      </c>
      <c r="B114" s="99"/>
      <c r="C114" s="1084">
        <v>350</v>
      </c>
      <c r="D114" s="1085" t="s">
        <v>1492</v>
      </c>
      <c r="E114" s="1091">
        <v>0</v>
      </c>
      <c r="F114" s="1071">
        <v>0</v>
      </c>
      <c r="G114" s="1071">
        <v>0</v>
      </c>
      <c r="H114" s="1071">
        <v>0</v>
      </c>
      <c r="I114" s="1071">
        <v>0</v>
      </c>
      <c r="J114" s="1072">
        <v>0</v>
      </c>
      <c r="K114" s="1096">
        <v>0</v>
      </c>
      <c r="L114" s="1097">
        <v>0</v>
      </c>
      <c r="M114" s="1097">
        <v>0</v>
      </c>
      <c r="N114" s="1097">
        <v>0</v>
      </c>
      <c r="O114" s="1097">
        <v>0</v>
      </c>
      <c r="P114" s="1097">
        <v>0</v>
      </c>
      <c r="Q114" s="1097">
        <v>0</v>
      </c>
      <c r="R114" s="1097">
        <v>0</v>
      </c>
      <c r="S114" s="1097">
        <v>0</v>
      </c>
      <c r="T114" s="1097">
        <v>0</v>
      </c>
      <c r="U114" s="1097">
        <v>0</v>
      </c>
      <c r="V114" s="1097">
        <v>0</v>
      </c>
      <c r="W114" s="1097">
        <v>0</v>
      </c>
      <c r="X114" s="1097">
        <v>0</v>
      </c>
      <c r="Y114" s="1097">
        <v>0</v>
      </c>
      <c r="Z114" s="1097">
        <v>0</v>
      </c>
      <c r="AA114" s="1096">
        <v>0</v>
      </c>
      <c r="AB114" s="1096">
        <v>0</v>
      </c>
      <c r="AC114" s="1096">
        <v>0</v>
      </c>
      <c r="AD114" s="1096">
        <v>0</v>
      </c>
      <c r="AE114" s="1096">
        <v>0</v>
      </c>
      <c r="AF114" s="1096">
        <v>0</v>
      </c>
      <c r="AG114" s="1096">
        <v>0</v>
      </c>
      <c r="AH114" s="1096">
        <v>0</v>
      </c>
      <c r="AI114" s="1096">
        <v>0</v>
      </c>
      <c r="AJ114" s="1096">
        <v>0</v>
      </c>
      <c r="AK114" s="1096">
        <v>0</v>
      </c>
      <c r="AL114" s="1096">
        <v>0</v>
      </c>
      <c r="AM114" s="1096">
        <v>0</v>
      </c>
      <c r="AN114" s="1096">
        <v>0</v>
      </c>
      <c r="AO114" s="1096">
        <v>0</v>
      </c>
      <c r="AP114" s="1096">
        <v>0</v>
      </c>
      <c r="AQ114" s="1096">
        <v>0</v>
      </c>
      <c r="AR114" s="1096">
        <v>0</v>
      </c>
      <c r="AS114" s="1096">
        <v>0</v>
      </c>
      <c r="AT114" s="1096">
        <v>0</v>
      </c>
      <c r="AU114" s="1096">
        <v>0</v>
      </c>
    </row>
    <row r="115" spans="1:47" s="1077" customFormat="1" ht="30" x14ac:dyDescent="0.25">
      <c r="A115" s="99">
        <v>351</v>
      </c>
      <c r="B115" s="99"/>
      <c r="C115" s="1084">
        <v>351</v>
      </c>
      <c r="D115" s="1085" t="s">
        <v>1493</v>
      </c>
      <c r="E115" s="1091">
        <v>0</v>
      </c>
      <c r="F115" s="1071">
        <v>0</v>
      </c>
      <c r="G115" s="1071">
        <v>0</v>
      </c>
      <c r="H115" s="1071">
        <v>0</v>
      </c>
      <c r="I115" s="1071">
        <v>0</v>
      </c>
      <c r="J115" s="1072">
        <v>0</v>
      </c>
      <c r="K115" s="1096">
        <v>0</v>
      </c>
      <c r="L115" s="1097">
        <v>0</v>
      </c>
      <c r="M115" s="1097">
        <v>0</v>
      </c>
      <c r="N115" s="1097">
        <v>0</v>
      </c>
      <c r="O115" s="1097">
        <v>0</v>
      </c>
      <c r="P115" s="1097">
        <v>0</v>
      </c>
      <c r="Q115" s="1097">
        <v>0</v>
      </c>
      <c r="R115" s="1097">
        <v>0</v>
      </c>
      <c r="S115" s="1097">
        <v>0</v>
      </c>
      <c r="T115" s="1097">
        <v>0</v>
      </c>
      <c r="U115" s="1097">
        <v>0</v>
      </c>
      <c r="V115" s="1097">
        <v>0</v>
      </c>
      <c r="W115" s="1097">
        <v>0</v>
      </c>
      <c r="X115" s="1097">
        <v>0</v>
      </c>
      <c r="Y115" s="1097">
        <v>0</v>
      </c>
      <c r="Z115" s="1097">
        <v>0</v>
      </c>
      <c r="AA115" s="1096">
        <v>0</v>
      </c>
      <c r="AB115" s="1096">
        <v>0</v>
      </c>
      <c r="AC115" s="1096">
        <v>0</v>
      </c>
      <c r="AD115" s="1096">
        <v>0</v>
      </c>
      <c r="AE115" s="1096">
        <v>0</v>
      </c>
      <c r="AF115" s="1096">
        <v>0</v>
      </c>
      <c r="AG115" s="1096">
        <v>0</v>
      </c>
      <c r="AH115" s="1096">
        <v>0</v>
      </c>
      <c r="AI115" s="1096">
        <v>0</v>
      </c>
      <c r="AJ115" s="1096">
        <v>0</v>
      </c>
      <c r="AK115" s="1096">
        <v>0</v>
      </c>
      <c r="AL115" s="1096">
        <v>0</v>
      </c>
      <c r="AM115" s="1096">
        <v>0</v>
      </c>
      <c r="AN115" s="1096">
        <v>0</v>
      </c>
      <c r="AO115" s="1096">
        <v>0</v>
      </c>
      <c r="AP115" s="1096">
        <v>0</v>
      </c>
      <c r="AQ115" s="1096">
        <v>0</v>
      </c>
      <c r="AR115" s="1096">
        <v>0</v>
      </c>
      <c r="AS115" s="1096">
        <v>0</v>
      </c>
      <c r="AT115" s="1096">
        <v>0</v>
      </c>
      <c r="AU115" s="1096">
        <v>0</v>
      </c>
    </row>
    <row r="116" spans="1:47" s="1077" customFormat="1" x14ac:dyDescent="0.25">
      <c r="A116" s="99">
        <v>352</v>
      </c>
      <c r="B116" s="1088"/>
      <c r="C116" s="1084">
        <v>352</v>
      </c>
      <c r="D116" s="1085" t="s">
        <v>1494</v>
      </c>
      <c r="E116" s="1091">
        <v>0</v>
      </c>
      <c r="F116" s="1071">
        <v>0</v>
      </c>
      <c r="G116" s="1071">
        <v>0</v>
      </c>
      <c r="H116" s="1071">
        <v>0</v>
      </c>
      <c r="I116" s="1071">
        <v>0</v>
      </c>
      <c r="J116" s="1072">
        <v>0</v>
      </c>
      <c r="K116" s="1096">
        <v>0</v>
      </c>
      <c r="L116" s="1097">
        <v>0</v>
      </c>
      <c r="M116" s="1097">
        <v>0</v>
      </c>
      <c r="N116" s="1097">
        <v>0</v>
      </c>
      <c r="O116" s="1097">
        <v>0</v>
      </c>
      <c r="P116" s="1097">
        <v>0</v>
      </c>
      <c r="Q116" s="1097">
        <v>0</v>
      </c>
      <c r="R116" s="1097">
        <v>0</v>
      </c>
      <c r="S116" s="1097">
        <v>0</v>
      </c>
      <c r="T116" s="1097">
        <v>0</v>
      </c>
      <c r="U116" s="1097">
        <v>0</v>
      </c>
      <c r="V116" s="1097">
        <v>0</v>
      </c>
      <c r="W116" s="1097">
        <v>0</v>
      </c>
      <c r="X116" s="1097">
        <v>0</v>
      </c>
      <c r="Y116" s="1097">
        <v>0</v>
      </c>
      <c r="Z116" s="1097">
        <v>0</v>
      </c>
      <c r="AA116" s="1096">
        <v>0</v>
      </c>
      <c r="AB116" s="1096">
        <v>0</v>
      </c>
      <c r="AC116" s="1096">
        <v>0</v>
      </c>
      <c r="AD116" s="1096">
        <v>0</v>
      </c>
      <c r="AE116" s="1096">
        <v>0</v>
      </c>
      <c r="AF116" s="1096">
        <v>0</v>
      </c>
      <c r="AG116" s="1096">
        <v>0</v>
      </c>
      <c r="AH116" s="1096">
        <v>0</v>
      </c>
      <c r="AI116" s="1096">
        <v>0</v>
      </c>
      <c r="AJ116" s="1096">
        <v>0</v>
      </c>
      <c r="AK116" s="1096">
        <v>0</v>
      </c>
      <c r="AL116" s="1096">
        <v>0</v>
      </c>
      <c r="AM116" s="1096">
        <v>0</v>
      </c>
      <c r="AN116" s="1096">
        <v>0</v>
      </c>
      <c r="AO116" s="1096">
        <v>0</v>
      </c>
      <c r="AP116" s="1096">
        <v>0</v>
      </c>
      <c r="AQ116" s="1096">
        <v>0</v>
      </c>
      <c r="AR116" s="1096">
        <v>0</v>
      </c>
      <c r="AS116" s="1096">
        <v>0</v>
      </c>
      <c r="AT116" s="1096">
        <v>0</v>
      </c>
      <c r="AU116" s="1096">
        <v>0</v>
      </c>
    </row>
    <row r="117" spans="1:47" s="1077" customFormat="1" ht="30" x14ac:dyDescent="0.25">
      <c r="A117" s="99">
        <v>353</v>
      </c>
      <c r="B117" s="1088"/>
      <c r="C117" s="1084">
        <v>353</v>
      </c>
      <c r="D117" s="1085" t="s">
        <v>1495</v>
      </c>
      <c r="E117" s="1091">
        <v>0</v>
      </c>
      <c r="F117" s="1071">
        <v>0</v>
      </c>
      <c r="G117" s="1071">
        <v>0</v>
      </c>
      <c r="H117" s="1071">
        <v>0</v>
      </c>
      <c r="I117" s="1071">
        <v>0</v>
      </c>
      <c r="J117" s="1072">
        <v>0</v>
      </c>
      <c r="K117" s="1096">
        <v>0</v>
      </c>
      <c r="L117" s="1097">
        <v>0</v>
      </c>
      <c r="M117" s="1097">
        <v>0</v>
      </c>
      <c r="N117" s="1097">
        <v>0</v>
      </c>
      <c r="O117" s="1097">
        <v>0</v>
      </c>
      <c r="P117" s="1097">
        <v>0</v>
      </c>
      <c r="Q117" s="1097">
        <v>0</v>
      </c>
      <c r="R117" s="1097">
        <v>0</v>
      </c>
      <c r="S117" s="1097">
        <v>0</v>
      </c>
      <c r="T117" s="1097">
        <v>0</v>
      </c>
      <c r="U117" s="1097">
        <v>0</v>
      </c>
      <c r="V117" s="1097">
        <v>0</v>
      </c>
      <c r="W117" s="1097">
        <v>0</v>
      </c>
      <c r="X117" s="1097">
        <v>0</v>
      </c>
      <c r="Y117" s="1097">
        <v>0</v>
      </c>
      <c r="Z117" s="1097">
        <v>0</v>
      </c>
      <c r="AA117" s="1096">
        <v>0</v>
      </c>
      <c r="AB117" s="1096">
        <v>0</v>
      </c>
      <c r="AC117" s="1096">
        <v>0</v>
      </c>
      <c r="AD117" s="1096">
        <v>0</v>
      </c>
      <c r="AE117" s="1096">
        <v>0</v>
      </c>
      <c r="AF117" s="1096">
        <v>0</v>
      </c>
      <c r="AG117" s="1096">
        <v>0</v>
      </c>
      <c r="AH117" s="1096">
        <v>0</v>
      </c>
      <c r="AI117" s="1096">
        <v>0</v>
      </c>
      <c r="AJ117" s="1096">
        <v>0</v>
      </c>
      <c r="AK117" s="1096">
        <v>0</v>
      </c>
      <c r="AL117" s="1096">
        <v>0</v>
      </c>
      <c r="AM117" s="1096">
        <v>0</v>
      </c>
      <c r="AN117" s="1096">
        <v>0</v>
      </c>
      <c r="AO117" s="1096">
        <v>0</v>
      </c>
      <c r="AP117" s="1096">
        <v>0</v>
      </c>
      <c r="AQ117" s="1096">
        <v>0</v>
      </c>
      <c r="AR117" s="1096">
        <v>0</v>
      </c>
      <c r="AS117" s="1096">
        <v>0</v>
      </c>
      <c r="AT117" s="1096">
        <v>0</v>
      </c>
      <c r="AU117" s="1096">
        <v>0</v>
      </c>
    </row>
    <row r="118" spans="1:47" s="1077" customFormat="1" ht="30" x14ac:dyDescent="0.25">
      <c r="A118" s="99">
        <v>356</v>
      </c>
      <c r="B118" s="1088"/>
      <c r="C118" s="1084">
        <v>356</v>
      </c>
      <c r="D118" s="1085" t="s">
        <v>1496</v>
      </c>
      <c r="E118" s="1091">
        <v>0</v>
      </c>
      <c r="F118" s="1071">
        <v>0</v>
      </c>
      <c r="G118" s="1071">
        <v>0</v>
      </c>
      <c r="H118" s="1071">
        <v>0</v>
      </c>
      <c r="I118" s="1071">
        <v>0</v>
      </c>
      <c r="J118" s="1072">
        <v>0</v>
      </c>
      <c r="K118" s="1096">
        <v>0</v>
      </c>
      <c r="L118" s="1097">
        <v>0</v>
      </c>
      <c r="M118" s="1097">
        <v>0</v>
      </c>
      <c r="N118" s="1097">
        <v>0</v>
      </c>
      <c r="O118" s="1097">
        <v>0</v>
      </c>
      <c r="P118" s="1097">
        <v>0</v>
      </c>
      <c r="Q118" s="1097">
        <v>0</v>
      </c>
      <c r="R118" s="1097">
        <v>0</v>
      </c>
      <c r="S118" s="1097">
        <v>0</v>
      </c>
      <c r="T118" s="1097">
        <v>0</v>
      </c>
      <c r="U118" s="1097">
        <v>0</v>
      </c>
      <c r="V118" s="1097">
        <v>0</v>
      </c>
      <c r="W118" s="1097">
        <v>0</v>
      </c>
      <c r="X118" s="1097">
        <v>0</v>
      </c>
      <c r="Y118" s="1097">
        <v>0</v>
      </c>
      <c r="Z118" s="1097">
        <v>0</v>
      </c>
      <c r="AA118" s="1096">
        <v>0</v>
      </c>
      <c r="AB118" s="1096">
        <v>0</v>
      </c>
      <c r="AC118" s="1096">
        <v>0</v>
      </c>
      <c r="AD118" s="1096">
        <v>0</v>
      </c>
      <c r="AE118" s="1096">
        <v>0</v>
      </c>
      <c r="AF118" s="1096">
        <v>0</v>
      </c>
      <c r="AG118" s="1096">
        <v>0</v>
      </c>
      <c r="AH118" s="1096">
        <v>0</v>
      </c>
      <c r="AI118" s="1096">
        <v>0</v>
      </c>
      <c r="AJ118" s="1096">
        <v>0</v>
      </c>
      <c r="AK118" s="1096">
        <v>0</v>
      </c>
      <c r="AL118" s="1096">
        <v>0</v>
      </c>
      <c r="AM118" s="1096">
        <v>0</v>
      </c>
      <c r="AN118" s="1096">
        <v>0</v>
      </c>
      <c r="AO118" s="1096">
        <v>0</v>
      </c>
      <c r="AP118" s="1096">
        <v>0</v>
      </c>
      <c r="AQ118" s="1096">
        <v>0</v>
      </c>
      <c r="AR118" s="1096">
        <v>0</v>
      </c>
      <c r="AS118" s="1096">
        <v>0</v>
      </c>
      <c r="AT118" s="1096">
        <v>0</v>
      </c>
      <c r="AU118" s="1096">
        <v>0</v>
      </c>
    </row>
    <row r="119" spans="1:47" s="1077" customFormat="1" ht="30" x14ac:dyDescent="0.25">
      <c r="A119" s="99">
        <v>357</v>
      </c>
      <c r="B119" s="1088"/>
      <c r="C119" s="1084">
        <v>357</v>
      </c>
      <c r="D119" s="1085" t="s">
        <v>1497</v>
      </c>
      <c r="E119" s="1091">
        <v>0</v>
      </c>
      <c r="F119" s="1071">
        <v>0</v>
      </c>
      <c r="G119" s="1071">
        <v>0</v>
      </c>
      <c r="H119" s="1071">
        <v>0</v>
      </c>
      <c r="I119" s="1071">
        <v>0</v>
      </c>
      <c r="J119" s="1072">
        <v>0</v>
      </c>
      <c r="K119" s="1096">
        <v>0</v>
      </c>
      <c r="L119" s="1097">
        <v>0</v>
      </c>
      <c r="M119" s="1097">
        <v>0</v>
      </c>
      <c r="N119" s="1097">
        <v>0</v>
      </c>
      <c r="O119" s="1097">
        <v>0</v>
      </c>
      <c r="P119" s="1097">
        <v>0</v>
      </c>
      <c r="Q119" s="1097">
        <v>0</v>
      </c>
      <c r="R119" s="1097">
        <v>0</v>
      </c>
      <c r="S119" s="1097">
        <v>0</v>
      </c>
      <c r="T119" s="1097">
        <v>0</v>
      </c>
      <c r="U119" s="1097">
        <v>0</v>
      </c>
      <c r="V119" s="1097">
        <v>0</v>
      </c>
      <c r="W119" s="1097">
        <v>0</v>
      </c>
      <c r="X119" s="1097">
        <v>0</v>
      </c>
      <c r="Y119" s="1097">
        <v>0</v>
      </c>
      <c r="Z119" s="1097">
        <v>0</v>
      </c>
      <c r="AA119" s="1096">
        <v>0</v>
      </c>
      <c r="AB119" s="1096">
        <v>0</v>
      </c>
      <c r="AC119" s="1096">
        <v>0</v>
      </c>
      <c r="AD119" s="1096">
        <v>0</v>
      </c>
      <c r="AE119" s="1096">
        <v>0</v>
      </c>
      <c r="AF119" s="1096">
        <v>0</v>
      </c>
      <c r="AG119" s="1096">
        <v>0</v>
      </c>
      <c r="AH119" s="1096">
        <v>0</v>
      </c>
      <c r="AI119" s="1096">
        <v>0</v>
      </c>
      <c r="AJ119" s="1096">
        <v>0</v>
      </c>
      <c r="AK119" s="1096">
        <v>0</v>
      </c>
      <c r="AL119" s="1096">
        <v>0</v>
      </c>
      <c r="AM119" s="1096">
        <v>0</v>
      </c>
      <c r="AN119" s="1096">
        <v>0</v>
      </c>
      <c r="AO119" s="1096">
        <v>0</v>
      </c>
      <c r="AP119" s="1096">
        <v>0</v>
      </c>
      <c r="AQ119" s="1096">
        <v>0</v>
      </c>
      <c r="AR119" s="1096">
        <v>0</v>
      </c>
      <c r="AS119" s="1096">
        <v>0</v>
      </c>
      <c r="AT119" s="1096">
        <v>0</v>
      </c>
      <c r="AU119" s="1096">
        <v>0</v>
      </c>
    </row>
    <row r="120" spans="1:47" s="1077" customFormat="1" ht="45" x14ac:dyDescent="0.25">
      <c r="A120" s="99">
        <v>359</v>
      </c>
      <c r="B120" s="1088"/>
      <c r="C120" s="1084">
        <v>359</v>
      </c>
      <c r="D120" s="1085" t="s">
        <v>1498</v>
      </c>
      <c r="E120" s="1091">
        <v>0</v>
      </c>
      <c r="F120" s="1071">
        <v>0</v>
      </c>
      <c r="G120" s="1071">
        <v>0</v>
      </c>
      <c r="H120" s="1071">
        <v>0</v>
      </c>
      <c r="I120" s="1071">
        <v>0</v>
      </c>
      <c r="J120" s="1072">
        <v>0</v>
      </c>
      <c r="K120" s="1096">
        <v>0</v>
      </c>
      <c r="L120" s="1097">
        <v>0</v>
      </c>
      <c r="M120" s="1097">
        <v>0</v>
      </c>
      <c r="N120" s="1097">
        <v>0</v>
      </c>
      <c r="O120" s="1097">
        <v>0</v>
      </c>
      <c r="P120" s="1097">
        <v>0</v>
      </c>
      <c r="Q120" s="1097">
        <v>0</v>
      </c>
      <c r="R120" s="1097">
        <v>0</v>
      </c>
      <c r="S120" s="1097">
        <v>0</v>
      </c>
      <c r="T120" s="1097">
        <v>0</v>
      </c>
      <c r="U120" s="1097">
        <v>0</v>
      </c>
      <c r="V120" s="1097">
        <v>0</v>
      </c>
      <c r="W120" s="1097">
        <v>0</v>
      </c>
      <c r="X120" s="1097">
        <v>0</v>
      </c>
      <c r="Y120" s="1097">
        <v>0</v>
      </c>
      <c r="Z120" s="1097">
        <v>0</v>
      </c>
      <c r="AA120" s="1096">
        <v>0</v>
      </c>
      <c r="AB120" s="1096">
        <v>0</v>
      </c>
      <c r="AC120" s="1096">
        <v>0</v>
      </c>
      <c r="AD120" s="1096">
        <v>0</v>
      </c>
      <c r="AE120" s="1096">
        <v>0</v>
      </c>
      <c r="AF120" s="1096">
        <v>0</v>
      </c>
      <c r="AG120" s="1096">
        <v>0</v>
      </c>
      <c r="AH120" s="1096">
        <v>0</v>
      </c>
      <c r="AI120" s="1096">
        <v>0</v>
      </c>
      <c r="AJ120" s="1096">
        <v>0</v>
      </c>
      <c r="AK120" s="1096">
        <v>0</v>
      </c>
      <c r="AL120" s="1096">
        <v>0</v>
      </c>
      <c r="AM120" s="1096">
        <v>0</v>
      </c>
      <c r="AN120" s="1096">
        <v>0</v>
      </c>
      <c r="AO120" s="1096">
        <v>0</v>
      </c>
      <c r="AP120" s="1096">
        <v>0</v>
      </c>
      <c r="AQ120" s="1096">
        <v>0</v>
      </c>
      <c r="AR120" s="1096">
        <v>0</v>
      </c>
      <c r="AS120" s="1096">
        <v>0</v>
      </c>
      <c r="AT120" s="1096">
        <v>0</v>
      </c>
      <c r="AU120" s="1096">
        <v>0</v>
      </c>
    </row>
    <row r="121" spans="1:47" s="1077" customFormat="1" ht="30" x14ac:dyDescent="0.25">
      <c r="A121" s="99">
        <v>360</v>
      </c>
      <c r="B121" s="1088"/>
      <c r="C121" s="1084">
        <v>360</v>
      </c>
      <c r="D121" s="1085" t="s">
        <v>1499</v>
      </c>
      <c r="E121" s="1091">
        <v>0</v>
      </c>
      <c r="F121" s="1071">
        <v>0</v>
      </c>
      <c r="G121" s="1071">
        <v>0</v>
      </c>
      <c r="H121" s="1071">
        <v>0</v>
      </c>
      <c r="I121" s="1071">
        <v>0</v>
      </c>
      <c r="J121" s="1072">
        <v>0</v>
      </c>
      <c r="K121" s="1096">
        <v>0</v>
      </c>
      <c r="L121" s="1097">
        <v>0</v>
      </c>
      <c r="M121" s="1097">
        <v>0</v>
      </c>
      <c r="N121" s="1097">
        <v>0</v>
      </c>
      <c r="O121" s="1097">
        <v>0</v>
      </c>
      <c r="P121" s="1097">
        <v>0</v>
      </c>
      <c r="Q121" s="1097">
        <v>0</v>
      </c>
      <c r="R121" s="1097">
        <v>0</v>
      </c>
      <c r="S121" s="1097">
        <v>0</v>
      </c>
      <c r="T121" s="1097">
        <v>0</v>
      </c>
      <c r="U121" s="1097">
        <v>0</v>
      </c>
      <c r="V121" s="1097">
        <v>0</v>
      </c>
      <c r="W121" s="1097">
        <v>0</v>
      </c>
      <c r="X121" s="1097">
        <v>0</v>
      </c>
      <c r="Y121" s="1097">
        <v>0</v>
      </c>
      <c r="Z121" s="1097">
        <v>0</v>
      </c>
      <c r="AA121" s="1096">
        <v>0</v>
      </c>
      <c r="AB121" s="1096">
        <v>0</v>
      </c>
      <c r="AC121" s="1096">
        <v>0</v>
      </c>
      <c r="AD121" s="1096">
        <v>0</v>
      </c>
      <c r="AE121" s="1096">
        <v>0</v>
      </c>
      <c r="AF121" s="1096">
        <v>0</v>
      </c>
      <c r="AG121" s="1096">
        <v>0</v>
      </c>
      <c r="AH121" s="1096">
        <v>0</v>
      </c>
      <c r="AI121" s="1096">
        <v>0</v>
      </c>
      <c r="AJ121" s="1096">
        <v>0</v>
      </c>
      <c r="AK121" s="1096">
        <v>0</v>
      </c>
      <c r="AL121" s="1096">
        <v>0</v>
      </c>
      <c r="AM121" s="1096">
        <v>0</v>
      </c>
      <c r="AN121" s="1096">
        <v>0</v>
      </c>
      <c r="AO121" s="1096">
        <v>0</v>
      </c>
      <c r="AP121" s="1096">
        <v>0</v>
      </c>
      <c r="AQ121" s="1096">
        <v>0</v>
      </c>
      <c r="AR121" s="1096">
        <v>0</v>
      </c>
      <c r="AS121" s="1096">
        <v>0</v>
      </c>
      <c r="AT121" s="1096">
        <v>0</v>
      </c>
      <c r="AU121" s="1096">
        <v>0</v>
      </c>
    </row>
    <row r="122" spans="1:47" s="1077" customFormat="1" x14ac:dyDescent="0.25">
      <c r="A122" s="99">
        <v>361</v>
      </c>
      <c r="B122" s="1088"/>
      <c r="C122" s="1084">
        <v>361</v>
      </c>
      <c r="D122" s="1085" t="s">
        <v>1500</v>
      </c>
      <c r="E122" s="1091">
        <v>0</v>
      </c>
      <c r="F122" s="1071">
        <v>0</v>
      </c>
      <c r="G122" s="1071">
        <v>0</v>
      </c>
      <c r="H122" s="1071">
        <v>0</v>
      </c>
      <c r="I122" s="1071">
        <v>0</v>
      </c>
      <c r="J122" s="1072">
        <v>0</v>
      </c>
      <c r="K122" s="1096">
        <v>0</v>
      </c>
      <c r="L122" s="1097">
        <v>0</v>
      </c>
      <c r="M122" s="1097">
        <v>0</v>
      </c>
      <c r="N122" s="1097">
        <v>0</v>
      </c>
      <c r="O122" s="1097">
        <v>0</v>
      </c>
      <c r="P122" s="1097">
        <v>0</v>
      </c>
      <c r="Q122" s="1097">
        <v>0</v>
      </c>
      <c r="R122" s="1097">
        <v>0</v>
      </c>
      <c r="S122" s="1097">
        <v>0</v>
      </c>
      <c r="T122" s="1097">
        <v>0</v>
      </c>
      <c r="U122" s="1097">
        <v>0</v>
      </c>
      <c r="V122" s="1097">
        <v>0</v>
      </c>
      <c r="W122" s="1097">
        <v>0</v>
      </c>
      <c r="X122" s="1097">
        <v>0</v>
      </c>
      <c r="Y122" s="1097">
        <v>0</v>
      </c>
      <c r="Z122" s="1097">
        <v>0</v>
      </c>
      <c r="AA122" s="1096">
        <v>0</v>
      </c>
      <c r="AB122" s="1096">
        <v>0</v>
      </c>
      <c r="AC122" s="1096">
        <v>0</v>
      </c>
      <c r="AD122" s="1096">
        <v>0</v>
      </c>
      <c r="AE122" s="1096">
        <v>0</v>
      </c>
      <c r="AF122" s="1096">
        <v>0</v>
      </c>
      <c r="AG122" s="1096">
        <v>0</v>
      </c>
      <c r="AH122" s="1096">
        <v>0</v>
      </c>
      <c r="AI122" s="1096">
        <v>0</v>
      </c>
      <c r="AJ122" s="1096">
        <v>0</v>
      </c>
      <c r="AK122" s="1096">
        <v>0</v>
      </c>
      <c r="AL122" s="1096">
        <v>0</v>
      </c>
      <c r="AM122" s="1096">
        <v>0</v>
      </c>
      <c r="AN122" s="1096">
        <v>0</v>
      </c>
      <c r="AO122" s="1096">
        <v>0</v>
      </c>
      <c r="AP122" s="1096">
        <v>0</v>
      </c>
      <c r="AQ122" s="1096">
        <v>0</v>
      </c>
      <c r="AR122" s="1096">
        <v>0</v>
      </c>
      <c r="AS122" s="1096">
        <v>0</v>
      </c>
      <c r="AT122" s="1096">
        <v>0</v>
      </c>
      <c r="AU122" s="1096">
        <v>0</v>
      </c>
    </row>
    <row r="123" spans="1:47" s="1077" customFormat="1" x14ac:dyDescent="0.25">
      <c r="A123" s="99">
        <v>362</v>
      </c>
      <c r="B123" s="1088"/>
      <c r="C123" s="1084">
        <v>362</v>
      </c>
      <c r="D123" s="1085" t="s">
        <v>1501</v>
      </c>
      <c r="E123" s="1091">
        <v>0</v>
      </c>
      <c r="F123" s="1071">
        <v>0</v>
      </c>
      <c r="G123" s="1071">
        <v>0</v>
      </c>
      <c r="H123" s="1071">
        <v>0</v>
      </c>
      <c r="I123" s="1071">
        <v>0</v>
      </c>
      <c r="J123" s="1072">
        <v>0</v>
      </c>
      <c r="K123" s="1096">
        <v>0</v>
      </c>
      <c r="L123" s="1097">
        <v>0</v>
      </c>
      <c r="M123" s="1097">
        <v>0</v>
      </c>
      <c r="N123" s="1097">
        <v>0</v>
      </c>
      <c r="O123" s="1097">
        <v>0</v>
      </c>
      <c r="P123" s="1097">
        <v>0</v>
      </c>
      <c r="Q123" s="1097">
        <v>0</v>
      </c>
      <c r="R123" s="1097">
        <v>0</v>
      </c>
      <c r="S123" s="1097">
        <v>0</v>
      </c>
      <c r="T123" s="1097">
        <v>0</v>
      </c>
      <c r="U123" s="1097">
        <v>0</v>
      </c>
      <c r="V123" s="1097">
        <v>0</v>
      </c>
      <c r="W123" s="1097">
        <v>0</v>
      </c>
      <c r="X123" s="1097">
        <v>0</v>
      </c>
      <c r="Y123" s="1097">
        <v>0</v>
      </c>
      <c r="Z123" s="1097">
        <v>0</v>
      </c>
      <c r="AA123" s="1096">
        <v>0</v>
      </c>
      <c r="AB123" s="1096">
        <v>0</v>
      </c>
      <c r="AC123" s="1096">
        <v>0</v>
      </c>
      <c r="AD123" s="1096">
        <v>0</v>
      </c>
      <c r="AE123" s="1096">
        <v>0</v>
      </c>
      <c r="AF123" s="1096">
        <v>0</v>
      </c>
      <c r="AG123" s="1096">
        <v>0</v>
      </c>
      <c r="AH123" s="1096">
        <v>0</v>
      </c>
      <c r="AI123" s="1096">
        <v>0</v>
      </c>
      <c r="AJ123" s="1096">
        <v>0</v>
      </c>
      <c r="AK123" s="1096">
        <v>0</v>
      </c>
      <c r="AL123" s="1096">
        <v>0</v>
      </c>
      <c r="AM123" s="1096">
        <v>0</v>
      </c>
      <c r="AN123" s="1096">
        <v>0</v>
      </c>
      <c r="AO123" s="1096">
        <v>0</v>
      </c>
      <c r="AP123" s="1096">
        <v>0</v>
      </c>
      <c r="AQ123" s="1096">
        <v>0</v>
      </c>
      <c r="AR123" s="1096">
        <v>0</v>
      </c>
      <c r="AS123" s="1096">
        <v>0</v>
      </c>
      <c r="AT123" s="1096">
        <v>0</v>
      </c>
      <c r="AU123" s="1096">
        <v>0</v>
      </c>
    </row>
    <row r="124" spans="1:47" s="1077" customFormat="1" ht="30" x14ac:dyDescent="0.25">
      <c r="A124" s="99">
        <v>363</v>
      </c>
      <c r="B124" s="1088"/>
      <c r="C124" s="1084">
        <v>363</v>
      </c>
      <c r="D124" s="1085" t="s">
        <v>1502</v>
      </c>
      <c r="E124" s="1091">
        <v>0</v>
      </c>
      <c r="F124" s="1071">
        <v>0</v>
      </c>
      <c r="G124" s="1071">
        <v>0</v>
      </c>
      <c r="H124" s="1071">
        <v>0</v>
      </c>
      <c r="I124" s="1071">
        <v>0</v>
      </c>
      <c r="J124" s="1072">
        <v>0</v>
      </c>
      <c r="K124" s="1096">
        <v>0</v>
      </c>
      <c r="L124" s="1097">
        <v>0</v>
      </c>
      <c r="M124" s="1097">
        <v>0</v>
      </c>
      <c r="N124" s="1097">
        <v>0</v>
      </c>
      <c r="O124" s="1097">
        <v>0</v>
      </c>
      <c r="P124" s="1097">
        <v>0</v>
      </c>
      <c r="Q124" s="1097">
        <v>0</v>
      </c>
      <c r="R124" s="1097">
        <v>0</v>
      </c>
      <c r="S124" s="1097">
        <v>0</v>
      </c>
      <c r="T124" s="1097">
        <v>0</v>
      </c>
      <c r="U124" s="1097">
        <v>0</v>
      </c>
      <c r="V124" s="1097">
        <v>0</v>
      </c>
      <c r="W124" s="1097">
        <v>0</v>
      </c>
      <c r="X124" s="1097">
        <v>0</v>
      </c>
      <c r="Y124" s="1097">
        <v>0</v>
      </c>
      <c r="Z124" s="1097">
        <v>0</v>
      </c>
      <c r="AA124" s="1096">
        <v>0</v>
      </c>
      <c r="AB124" s="1096">
        <v>0</v>
      </c>
      <c r="AC124" s="1096">
        <v>0</v>
      </c>
      <c r="AD124" s="1096">
        <v>0</v>
      </c>
      <c r="AE124" s="1096">
        <v>0</v>
      </c>
      <c r="AF124" s="1096">
        <v>0</v>
      </c>
      <c r="AG124" s="1096">
        <v>0</v>
      </c>
      <c r="AH124" s="1096">
        <v>0</v>
      </c>
      <c r="AI124" s="1096">
        <v>0</v>
      </c>
      <c r="AJ124" s="1096">
        <v>0</v>
      </c>
      <c r="AK124" s="1096">
        <v>0</v>
      </c>
      <c r="AL124" s="1096">
        <v>0</v>
      </c>
      <c r="AM124" s="1096">
        <v>0</v>
      </c>
      <c r="AN124" s="1096">
        <v>0</v>
      </c>
      <c r="AO124" s="1096">
        <v>0</v>
      </c>
      <c r="AP124" s="1096">
        <v>0</v>
      </c>
      <c r="AQ124" s="1096">
        <v>0</v>
      </c>
      <c r="AR124" s="1096">
        <v>0</v>
      </c>
      <c r="AS124" s="1096">
        <v>0</v>
      </c>
      <c r="AT124" s="1096">
        <v>0</v>
      </c>
      <c r="AU124" s="1096">
        <v>0</v>
      </c>
    </row>
    <row r="125" spans="1:47" s="1077" customFormat="1" ht="30" x14ac:dyDescent="0.25">
      <c r="A125" s="99">
        <v>364</v>
      </c>
      <c r="B125" s="1088"/>
      <c r="C125" s="1084">
        <v>364</v>
      </c>
      <c r="D125" s="1085" t="s">
        <v>1503</v>
      </c>
      <c r="E125" s="1091">
        <v>0</v>
      </c>
      <c r="F125" s="1071">
        <v>0</v>
      </c>
      <c r="G125" s="1071">
        <v>0</v>
      </c>
      <c r="H125" s="1071">
        <v>0</v>
      </c>
      <c r="I125" s="1071">
        <v>0</v>
      </c>
      <c r="J125" s="1072">
        <v>0</v>
      </c>
      <c r="K125" s="1096">
        <v>0</v>
      </c>
      <c r="L125" s="1097">
        <v>0</v>
      </c>
      <c r="M125" s="1097">
        <v>0</v>
      </c>
      <c r="N125" s="1097">
        <v>0</v>
      </c>
      <c r="O125" s="1097">
        <v>0</v>
      </c>
      <c r="P125" s="1097">
        <v>0</v>
      </c>
      <c r="Q125" s="1097">
        <v>0</v>
      </c>
      <c r="R125" s="1097">
        <v>0</v>
      </c>
      <c r="S125" s="1097">
        <v>0</v>
      </c>
      <c r="T125" s="1097">
        <v>0</v>
      </c>
      <c r="U125" s="1097">
        <v>0</v>
      </c>
      <c r="V125" s="1097">
        <v>0</v>
      </c>
      <c r="W125" s="1097">
        <v>0</v>
      </c>
      <c r="X125" s="1097">
        <v>0</v>
      </c>
      <c r="Y125" s="1097">
        <v>0</v>
      </c>
      <c r="Z125" s="1097">
        <v>0</v>
      </c>
      <c r="AA125" s="1096">
        <v>0</v>
      </c>
      <c r="AB125" s="1096">
        <v>0</v>
      </c>
      <c r="AC125" s="1096">
        <v>0</v>
      </c>
      <c r="AD125" s="1096">
        <v>0</v>
      </c>
      <c r="AE125" s="1096">
        <v>0</v>
      </c>
      <c r="AF125" s="1096">
        <v>0</v>
      </c>
      <c r="AG125" s="1096">
        <v>0</v>
      </c>
      <c r="AH125" s="1096">
        <v>0</v>
      </c>
      <c r="AI125" s="1096">
        <v>0</v>
      </c>
      <c r="AJ125" s="1096">
        <v>0</v>
      </c>
      <c r="AK125" s="1096">
        <v>0</v>
      </c>
      <c r="AL125" s="1096">
        <v>0</v>
      </c>
      <c r="AM125" s="1096">
        <v>0</v>
      </c>
      <c r="AN125" s="1096">
        <v>0</v>
      </c>
      <c r="AO125" s="1096">
        <v>0</v>
      </c>
      <c r="AP125" s="1096">
        <v>0</v>
      </c>
      <c r="AQ125" s="1096">
        <v>0</v>
      </c>
      <c r="AR125" s="1096">
        <v>0</v>
      </c>
      <c r="AS125" s="1096">
        <v>0</v>
      </c>
      <c r="AT125" s="1096">
        <v>0</v>
      </c>
      <c r="AU125" s="1096">
        <v>0</v>
      </c>
    </row>
    <row r="126" spans="1:47" s="1077" customFormat="1" x14ac:dyDescent="0.25">
      <c r="A126" s="99">
        <v>365</v>
      </c>
      <c r="B126" s="1088"/>
      <c r="C126" s="1084">
        <v>365</v>
      </c>
      <c r="D126" s="1085" t="s">
        <v>1504</v>
      </c>
      <c r="E126" s="1091">
        <v>0</v>
      </c>
      <c r="F126" s="1071">
        <v>0</v>
      </c>
      <c r="G126" s="1071">
        <v>0</v>
      </c>
      <c r="H126" s="1071">
        <v>0</v>
      </c>
      <c r="I126" s="1071">
        <v>0</v>
      </c>
      <c r="J126" s="1072">
        <v>0</v>
      </c>
      <c r="K126" s="1096">
        <v>0</v>
      </c>
      <c r="L126" s="1097">
        <v>0</v>
      </c>
      <c r="M126" s="1097">
        <v>0</v>
      </c>
      <c r="N126" s="1097">
        <v>0</v>
      </c>
      <c r="O126" s="1097">
        <v>0</v>
      </c>
      <c r="P126" s="1097">
        <v>0</v>
      </c>
      <c r="Q126" s="1097">
        <v>0</v>
      </c>
      <c r="R126" s="1097">
        <v>0</v>
      </c>
      <c r="S126" s="1097">
        <v>0</v>
      </c>
      <c r="T126" s="1097">
        <v>0</v>
      </c>
      <c r="U126" s="1097">
        <v>0</v>
      </c>
      <c r="V126" s="1097">
        <v>0</v>
      </c>
      <c r="W126" s="1097">
        <v>0</v>
      </c>
      <c r="X126" s="1097">
        <v>0</v>
      </c>
      <c r="Y126" s="1097">
        <v>0</v>
      </c>
      <c r="Z126" s="1097">
        <v>0</v>
      </c>
      <c r="AA126" s="1096">
        <v>0</v>
      </c>
      <c r="AB126" s="1096">
        <v>0</v>
      </c>
      <c r="AC126" s="1096">
        <v>0</v>
      </c>
      <c r="AD126" s="1096">
        <v>0</v>
      </c>
      <c r="AE126" s="1096">
        <v>0</v>
      </c>
      <c r="AF126" s="1096">
        <v>0</v>
      </c>
      <c r="AG126" s="1096">
        <v>0</v>
      </c>
      <c r="AH126" s="1096">
        <v>0</v>
      </c>
      <c r="AI126" s="1096">
        <v>0</v>
      </c>
      <c r="AJ126" s="1096">
        <v>0</v>
      </c>
      <c r="AK126" s="1096">
        <v>0</v>
      </c>
      <c r="AL126" s="1096">
        <v>0</v>
      </c>
      <c r="AM126" s="1096">
        <v>0</v>
      </c>
      <c r="AN126" s="1096">
        <v>0</v>
      </c>
      <c r="AO126" s="1096">
        <v>0</v>
      </c>
      <c r="AP126" s="1096">
        <v>0</v>
      </c>
      <c r="AQ126" s="1096">
        <v>0</v>
      </c>
      <c r="AR126" s="1096">
        <v>0</v>
      </c>
      <c r="AS126" s="1096">
        <v>0</v>
      </c>
      <c r="AT126" s="1096">
        <v>0</v>
      </c>
      <c r="AU126" s="1096">
        <v>0</v>
      </c>
    </row>
    <row r="127" spans="1:47" s="1077" customFormat="1" ht="30" x14ac:dyDescent="0.25">
      <c r="A127" s="99">
        <v>366</v>
      </c>
      <c r="B127" s="1088"/>
      <c r="C127" s="1084">
        <v>366</v>
      </c>
      <c r="D127" s="1085" t="s">
        <v>1505</v>
      </c>
      <c r="E127" s="1091">
        <v>0</v>
      </c>
      <c r="F127" s="1071">
        <v>0</v>
      </c>
      <c r="G127" s="1071">
        <v>0</v>
      </c>
      <c r="H127" s="1071">
        <v>0</v>
      </c>
      <c r="I127" s="1071">
        <v>0</v>
      </c>
      <c r="J127" s="1072">
        <v>0</v>
      </c>
      <c r="K127" s="1096">
        <v>0</v>
      </c>
      <c r="L127" s="1097">
        <v>0</v>
      </c>
      <c r="M127" s="1097">
        <v>0</v>
      </c>
      <c r="N127" s="1097">
        <v>0</v>
      </c>
      <c r="O127" s="1097">
        <v>0</v>
      </c>
      <c r="P127" s="1097">
        <v>0</v>
      </c>
      <c r="Q127" s="1097">
        <v>0</v>
      </c>
      <c r="R127" s="1097">
        <v>0</v>
      </c>
      <c r="S127" s="1097">
        <v>0</v>
      </c>
      <c r="T127" s="1097">
        <v>0</v>
      </c>
      <c r="U127" s="1097">
        <v>0</v>
      </c>
      <c r="V127" s="1097">
        <v>0</v>
      </c>
      <c r="W127" s="1097">
        <v>0</v>
      </c>
      <c r="X127" s="1097">
        <v>0</v>
      </c>
      <c r="Y127" s="1097">
        <v>0</v>
      </c>
      <c r="Z127" s="1097">
        <v>0</v>
      </c>
      <c r="AA127" s="1096">
        <v>0</v>
      </c>
      <c r="AB127" s="1096">
        <v>0</v>
      </c>
      <c r="AC127" s="1096">
        <v>0</v>
      </c>
      <c r="AD127" s="1096">
        <v>0</v>
      </c>
      <c r="AE127" s="1096">
        <v>0</v>
      </c>
      <c r="AF127" s="1096">
        <v>0</v>
      </c>
      <c r="AG127" s="1096">
        <v>0</v>
      </c>
      <c r="AH127" s="1096">
        <v>0</v>
      </c>
      <c r="AI127" s="1096">
        <v>0</v>
      </c>
      <c r="AJ127" s="1096">
        <v>0</v>
      </c>
      <c r="AK127" s="1096">
        <v>0</v>
      </c>
      <c r="AL127" s="1096">
        <v>0</v>
      </c>
      <c r="AM127" s="1096">
        <v>0</v>
      </c>
      <c r="AN127" s="1096">
        <v>0</v>
      </c>
      <c r="AO127" s="1096">
        <v>0</v>
      </c>
      <c r="AP127" s="1096">
        <v>0</v>
      </c>
      <c r="AQ127" s="1096">
        <v>0</v>
      </c>
      <c r="AR127" s="1096">
        <v>0</v>
      </c>
      <c r="AS127" s="1096">
        <v>0</v>
      </c>
      <c r="AT127" s="1096">
        <v>0</v>
      </c>
      <c r="AU127" s="1096">
        <v>0</v>
      </c>
    </row>
    <row r="128" spans="1:47" s="1077" customFormat="1" x14ac:dyDescent="0.25">
      <c r="A128" s="99">
        <v>367</v>
      </c>
      <c r="B128" s="1088"/>
      <c r="C128" s="1084">
        <v>367</v>
      </c>
      <c r="D128" s="1085" t="s">
        <v>396</v>
      </c>
      <c r="E128" s="1091">
        <v>0</v>
      </c>
      <c r="F128" s="1071">
        <v>0</v>
      </c>
      <c r="G128" s="1071">
        <v>0</v>
      </c>
      <c r="H128" s="1071">
        <v>0</v>
      </c>
      <c r="I128" s="1071">
        <v>0</v>
      </c>
      <c r="J128" s="1072">
        <v>0</v>
      </c>
      <c r="K128" s="1096">
        <v>0</v>
      </c>
      <c r="L128" s="1097">
        <v>0</v>
      </c>
      <c r="M128" s="1097">
        <v>0</v>
      </c>
      <c r="N128" s="1097">
        <v>0</v>
      </c>
      <c r="O128" s="1097">
        <v>0</v>
      </c>
      <c r="P128" s="1097">
        <v>0</v>
      </c>
      <c r="Q128" s="1097">
        <v>0</v>
      </c>
      <c r="R128" s="1097">
        <v>0</v>
      </c>
      <c r="S128" s="1097">
        <v>0</v>
      </c>
      <c r="T128" s="1097">
        <v>0</v>
      </c>
      <c r="U128" s="1097">
        <v>0</v>
      </c>
      <c r="V128" s="1097">
        <v>0</v>
      </c>
      <c r="W128" s="1097">
        <v>0</v>
      </c>
      <c r="X128" s="1097">
        <v>0</v>
      </c>
      <c r="Y128" s="1097">
        <v>0</v>
      </c>
      <c r="Z128" s="1097">
        <v>0</v>
      </c>
      <c r="AA128" s="1096">
        <v>0</v>
      </c>
      <c r="AB128" s="1096">
        <v>0</v>
      </c>
      <c r="AC128" s="1096">
        <v>0</v>
      </c>
      <c r="AD128" s="1096">
        <v>0</v>
      </c>
      <c r="AE128" s="1096">
        <v>0</v>
      </c>
      <c r="AF128" s="1096">
        <v>0</v>
      </c>
      <c r="AG128" s="1096">
        <v>0</v>
      </c>
      <c r="AH128" s="1096">
        <v>0</v>
      </c>
      <c r="AI128" s="1096">
        <v>0</v>
      </c>
      <c r="AJ128" s="1096">
        <v>0</v>
      </c>
      <c r="AK128" s="1096">
        <v>0</v>
      </c>
      <c r="AL128" s="1096">
        <v>0</v>
      </c>
      <c r="AM128" s="1096">
        <v>0</v>
      </c>
      <c r="AN128" s="1096">
        <v>0</v>
      </c>
      <c r="AO128" s="1096">
        <v>0</v>
      </c>
      <c r="AP128" s="1096">
        <v>0</v>
      </c>
      <c r="AQ128" s="1096">
        <v>0</v>
      </c>
      <c r="AR128" s="1096">
        <v>0</v>
      </c>
      <c r="AS128" s="1096">
        <v>0</v>
      </c>
      <c r="AT128" s="1096">
        <v>0</v>
      </c>
      <c r="AU128" s="1096">
        <v>0</v>
      </c>
    </row>
    <row r="129" spans="1:47" s="1077" customFormat="1" ht="30" x14ac:dyDescent="0.25">
      <c r="A129" s="99">
        <v>368</v>
      </c>
      <c r="B129" s="1088"/>
      <c r="C129" s="1084">
        <v>368</v>
      </c>
      <c r="D129" s="1085" t="s">
        <v>1506</v>
      </c>
      <c r="E129" s="1091">
        <v>0</v>
      </c>
      <c r="F129" s="1071">
        <v>0</v>
      </c>
      <c r="G129" s="1071">
        <v>0</v>
      </c>
      <c r="H129" s="1071">
        <v>0</v>
      </c>
      <c r="I129" s="1071">
        <v>0</v>
      </c>
      <c r="J129" s="1072">
        <v>0</v>
      </c>
      <c r="K129" s="1096">
        <v>0</v>
      </c>
      <c r="L129" s="1097">
        <v>0</v>
      </c>
      <c r="M129" s="1097">
        <v>0</v>
      </c>
      <c r="N129" s="1097">
        <v>0</v>
      </c>
      <c r="O129" s="1097">
        <v>0</v>
      </c>
      <c r="P129" s="1097">
        <v>0</v>
      </c>
      <c r="Q129" s="1097">
        <v>0</v>
      </c>
      <c r="R129" s="1097">
        <v>0</v>
      </c>
      <c r="S129" s="1097">
        <v>0</v>
      </c>
      <c r="T129" s="1097">
        <v>0</v>
      </c>
      <c r="U129" s="1097">
        <v>0</v>
      </c>
      <c r="V129" s="1097">
        <v>0</v>
      </c>
      <c r="W129" s="1097">
        <v>0</v>
      </c>
      <c r="X129" s="1097">
        <v>0</v>
      </c>
      <c r="Y129" s="1097">
        <v>0</v>
      </c>
      <c r="Z129" s="1097">
        <v>0</v>
      </c>
      <c r="AA129" s="1096">
        <v>0</v>
      </c>
      <c r="AB129" s="1096">
        <v>0</v>
      </c>
      <c r="AC129" s="1096">
        <v>0</v>
      </c>
      <c r="AD129" s="1096">
        <v>0</v>
      </c>
      <c r="AE129" s="1096">
        <v>0</v>
      </c>
      <c r="AF129" s="1096">
        <v>0</v>
      </c>
      <c r="AG129" s="1096">
        <v>0</v>
      </c>
      <c r="AH129" s="1096">
        <v>0</v>
      </c>
      <c r="AI129" s="1096">
        <v>0</v>
      </c>
      <c r="AJ129" s="1096">
        <v>0</v>
      </c>
      <c r="AK129" s="1096">
        <v>0</v>
      </c>
      <c r="AL129" s="1096">
        <v>0</v>
      </c>
      <c r="AM129" s="1096">
        <v>0</v>
      </c>
      <c r="AN129" s="1096">
        <v>0</v>
      </c>
      <c r="AO129" s="1096">
        <v>0</v>
      </c>
      <c r="AP129" s="1096">
        <v>0</v>
      </c>
      <c r="AQ129" s="1096">
        <v>0</v>
      </c>
      <c r="AR129" s="1096">
        <v>0</v>
      </c>
      <c r="AS129" s="1096">
        <v>0</v>
      </c>
      <c r="AT129" s="1096">
        <v>0</v>
      </c>
      <c r="AU129" s="1096">
        <v>0</v>
      </c>
    </row>
    <row r="130" spans="1:47" s="1077" customFormat="1" ht="30" x14ac:dyDescent="0.25">
      <c r="A130" s="99">
        <v>369</v>
      </c>
      <c r="B130" s="1088"/>
      <c r="C130" s="1084">
        <v>369</v>
      </c>
      <c r="D130" s="1085" t="s">
        <v>1507</v>
      </c>
      <c r="E130" s="1091">
        <v>0</v>
      </c>
      <c r="F130" s="1071">
        <v>0</v>
      </c>
      <c r="G130" s="1071">
        <v>0</v>
      </c>
      <c r="H130" s="1071">
        <v>0</v>
      </c>
      <c r="I130" s="1071">
        <v>0</v>
      </c>
      <c r="J130" s="1072">
        <v>0</v>
      </c>
      <c r="K130" s="1096">
        <v>0</v>
      </c>
      <c r="L130" s="1097">
        <v>0</v>
      </c>
      <c r="M130" s="1097">
        <v>0</v>
      </c>
      <c r="N130" s="1097">
        <v>0</v>
      </c>
      <c r="O130" s="1097">
        <v>0</v>
      </c>
      <c r="P130" s="1097">
        <v>0</v>
      </c>
      <c r="Q130" s="1097">
        <v>0</v>
      </c>
      <c r="R130" s="1097">
        <v>0</v>
      </c>
      <c r="S130" s="1097">
        <v>0</v>
      </c>
      <c r="T130" s="1097">
        <v>0</v>
      </c>
      <c r="U130" s="1097">
        <v>0</v>
      </c>
      <c r="V130" s="1097">
        <v>0</v>
      </c>
      <c r="W130" s="1097">
        <v>0</v>
      </c>
      <c r="X130" s="1097">
        <v>0</v>
      </c>
      <c r="Y130" s="1097">
        <v>0</v>
      </c>
      <c r="Z130" s="1097">
        <v>0</v>
      </c>
      <c r="AA130" s="1096">
        <v>0</v>
      </c>
      <c r="AB130" s="1096">
        <v>0</v>
      </c>
      <c r="AC130" s="1096">
        <v>0</v>
      </c>
      <c r="AD130" s="1096">
        <v>0</v>
      </c>
      <c r="AE130" s="1096">
        <v>0</v>
      </c>
      <c r="AF130" s="1096">
        <v>0</v>
      </c>
      <c r="AG130" s="1096">
        <v>0</v>
      </c>
      <c r="AH130" s="1096">
        <v>0</v>
      </c>
      <c r="AI130" s="1096">
        <v>0</v>
      </c>
      <c r="AJ130" s="1096">
        <v>0</v>
      </c>
      <c r="AK130" s="1096">
        <v>0</v>
      </c>
      <c r="AL130" s="1096">
        <v>0</v>
      </c>
      <c r="AM130" s="1096">
        <v>0</v>
      </c>
      <c r="AN130" s="1096">
        <v>0</v>
      </c>
      <c r="AO130" s="1096">
        <v>0</v>
      </c>
      <c r="AP130" s="1096">
        <v>0</v>
      </c>
      <c r="AQ130" s="1096">
        <v>0</v>
      </c>
      <c r="AR130" s="1096">
        <v>0</v>
      </c>
      <c r="AS130" s="1096">
        <v>0</v>
      </c>
      <c r="AT130" s="1096">
        <v>0</v>
      </c>
      <c r="AU130" s="1096">
        <v>0</v>
      </c>
    </row>
    <row r="131" spans="1:47" s="1077" customFormat="1" ht="30" x14ac:dyDescent="0.25">
      <c r="A131" s="99">
        <v>370</v>
      </c>
      <c r="B131" s="1088"/>
      <c r="C131" s="1084">
        <v>370</v>
      </c>
      <c r="D131" s="1085" t="s">
        <v>1508</v>
      </c>
      <c r="E131" s="1091">
        <v>0</v>
      </c>
      <c r="F131" s="1071">
        <v>0</v>
      </c>
      <c r="G131" s="1071">
        <v>0</v>
      </c>
      <c r="H131" s="1071">
        <v>0</v>
      </c>
      <c r="I131" s="1071">
        <v>0</v>
      </c>
      <c r="J131" s="1072">
        <v>0</v>
      </c>
      <c r="K131" s="1096">
        <v>0</v>
      </c>
      <c r="L131" s="1097">
        <v>0</v>
      </c>
      <c r="M131" s="1097">
        <v>0</v>
      </c>
      <c r="N131" s="1097">
        <v>0</v>
      </c>
      <c r="O131" s="1097">
        <v>0</v>
      </c>
      <c r="P131" s="1097">
        <v>0</v>
      </c>
      <c r="Q131" s="1097">
        <v>0</v>
      </c>
      <c r="R131" s="1097">
        <v>0</v>
      </c>
      <c r="S131" s="1097">
        <v>0</v>
      </c>
      <c r="T131" s="1097">
        <v>0</v>
      </c>
      <c r="U131" s="1097">
        <v>0</v>
      </c>
      <c r="V131" s="1097">
        <v>0</v>
      </c>
      <c r="W131" s="1097">
        <v>0</v>
      </c>
      <c r="X131" s="1097">
        <v>0</v>
      </c>
      <c r="Y131" s="1097">
        <v>0</v>
      </c>
      <c r="Z131" s="1097">
        <v>0</v>
      </c>
      <c r="AA131" s="1096">
        <v>0</v>
      </c>
      <c r="AB131" s="1096">
        <v>0</v>
      </c>
      <c r="AC131" s="1096">
        <v>0</v>
      </c>
      <c r="AD131" s="1096">
        <v>0</v>
      </c>
      <c r="AE131" s="1096">
        <v>0</v>
      </c>
      <c r="AF131" s="1096">
        <v>0</v>
      </c>
      <c r="AG131" s="1096">
        <v>0</v>
      </c>
      <c r="AH131" s="1096">
        <v>0</v>
      </c>
      <c r="AI131" s="1096">
        <v>0</v>
      </c>
      <c r="AJ131" s="1096">
        <v>0</v>
      </c>
      <c r="AK131" s="1096">
        <v>0</v>
      </c>
      <c r="AL131" s="1096">
        <v>0</v>
      </c>
      <c r="AM131" s="1096">
        <v>0</v>
      </c>
      <c r="AN131" s="1096">
        <v>0</v>
      </c>
      <c r="AO131" s="1096">
        <v>0</v>
      </c>
      <c r="AP131" s="1096">
        <v>0</v>
      </c>
      <c r="AQ131" s="1096">
        <v>0</v>
      </c>
      <c r="AR131" s="1096">
        <v>0</v>
      </c>
      <c r="AS131" s="1096">
        <v>0</v>
      </c>
      <c r="AT131" s="1096">
        <v>0</v>
      </c>
      <c r="AU131" s="1096">
        <v>0</v>
      </c>
    </row>
    <row r="132" spans="1:47" s="1077" customFormat="1" ht="30" x14ac:dyDescent="0.25">
      <c r="A132" s="99">
        <v>371</v>
      </c>
      <c r="B132" s="1088"/>
      <c r="C132" s="1084">
        <v>371</v>
      </c>
      <c r="D132" s="1085" t="s">
        <v>1509</v>
      </c>
      <c r="E132" s="1091">
        <v>0</v>
      </c>
      <c r="F132" s="1071">
        <v>0</v>
      </c>
      <c r="G132" s="1071">
        <v>0</v>
      </c>
      <c r="H132" s="1071">
        <v>0</v>
      </c>
      <c r="I132" s="1071">
        <v>0</v>
      </c>
      <c r="J132" s="1072">
        <v>0</v>
      </c>
      <c r="K132" s="1096">
        <v>0</v>
      </c>
      <c r="L132" s="1097">
        <v>0</v>
      </c>
      <c r="M132" s="1097">
        <v>0</v>
      </c>
      <c r="N132" s="1097">
        <v>0</v>
      </c>
      <c r="O132" s="1097">
        <v>0</v>
      </c>
      <c r="P132" s="1097">
        <v>0</v>
      </c>
      <c r="Q132" s="1097">
        <v>0</v>
      </c>
      <c r="R132" s="1097">
        <v>0</v>
      </c>
      <c r="S132" s="1097">
        <v>0</v>
      </c>
      <c r="T132" s="1097">
        <v>0</v>
      </c>
      <c r="U132" s="1097">
        <v>0</v>
      </c>
      <c r="V132" s="1097">
        <v>0</v>
      </c>
      <c r="W132" s="1097">
        <v>0</v>
      </c>
      <c r="X132" s="1097">
        <v>0</v>
      </c>
      <c r="Y132" s="1097">
        <v>0</v>
      </c>
      <c r="Z132" s="1097">
        <v>0</v>
      </c>
      <c r="AA132" s="1096">
        <v>0</v>
      </c>
      <c r="AB132" s="1096">
        <v>0</v>
      </c>
      <c r="AC132" s="1096">
        <v>0</v>
      </c>
      <c r="AD132" s="1096">
        <v>0</v>
      </c>
      <c r="AE132" s="1096">
        <v>0</v>
      </c>
      <c r="AF132" s="1096">
        <v>0</v>
      </c>
      <c r="AG132" s="1096">
        <v>0</v>
      </c>
      <c r="AH132" s="1096">
        <v>0</v>
      </c>
      <c r="AI132" s="1096">
        <v>0</v>
      </c>
      <c r="AJ132" s="1096">
        <v>0</v>
      </c>
      <c r="AK132" s="1096">
        <v>0</v>
      </c>
      <c r="AL132" s="1096">
        <v>0</v>
      </c>
      <c r="AM132" s="1096">
        <v>0</v>
      </c>
      <c r="AN132" s="1096">
        <v>0</v>
      </c>
      <c r="AO132" s="1096">
        <v>0</v>
      </c>
      <c r="AP132" s="1096">
        <v>0</v>
      </c>
      <c r="AQ132" s="1096">
        <v>0</v>
      </c>
      <c r="AR132" s="1096">
        <v>0</v>
      </c>
      <c r="AS132" s="1096">
        <v>0</v>
      </c>
      <c r="AT132" s="1096">
        <v>0</v>
      </c>
      <c r="AU132" s="1096">
        <v>0</v>
      </c>
    </row>
    <row r="133" spans="1:47" s="1077" customFormat="1" x14ac:dyDescent="0.25">
      <c r="A133" s="99">
        <v>373</v>
      </c>
      <c r="B133" s="1088">
        <v>373</v>
      </c>
      <c r="C133" s="1084">
        <v>373</v>
      </c>
      <c r="D133" s="1085" t="s">
        <v>343</v>
      </c>
      <c r="E133" s="1091">
        <v>0</v>
      </c>
      <c r="F133" s="1071">
        <v>0</v>
      </c>
      <c r="G133" s="1071">
        <v>18139</v>
      </c>
      <c r="H133" s="1071">
        <v>5949837</v>
      </c>
      <c r="I133" s="1071">
        <v>0</v>
      </c>
      <c r="J133" s="1072">
        <v>833983</v>
      </c>
      <c r="K133" s="1096">
        <v>339461</v>
      </c>
      <c r="L133" s="1097">
        <v>0</v>
      </c>
      <c r="M133" s="1097">
        <v>0</v>
      </c>
      <c r="N133" s="1097">
        <v>0</v>
      </c>
      <c r="O133" s="1097">
        <v>2912429</v>
      </c>
      <c r="P133" s="1097">
        <v>0</v>
      </c>
      <c r="Q133" s="1097">
        <v>0</v>
      </c>
      <c r="R133" s="1097">
        <v>0</v>
      </c>
      <c r="S133" s="1097">
        <v>715</v>
      </c>
      <c r="T133" s="1097">
        <v>0</v>
      </c>
      <c r="U133" s="1097">
        <v>0</v>
      </c>
      <c r="V133" s="1097">
        <v>0</v>
      </c>
      <c r="W133" s="1097">
        <v>0</v>
      </c>
      <c r="X133" s="1097">
        <v>26887</v>
      </c>
      <c r="Y133" s="1097">
        <v>0</v>
      </c>
      <c r="Z133" s="1097">
        <v>0</v>
      </c>
      <c r="AA133" s="1096">
        <v>1027283</v>
      </c>
      <c r="AB133" s="1096">
        <v>0</v>
      </c>
      <c r="AC133" s="1096">
        <v>367070</v>
      </c>
      <c r="AD133" s="1096">
        <v>0</v>
      </c>
      <c r="AE133" s="1096">
        <v>471808</v>
      </c>
      <c r="AF133" s="1096">
        <v>23179377</v>
      </c>
      <c r="AG133" s="1096">
        <v>0</v>
      </c>
      <c r="AH133" s="1096">
        <v>0</v>
      </c>
      <c r="AI133" s="1096">
        <v>0</v>
      </c>
      <c r="AJ133" s="1096">
        <v>16590081</v>
      </c>
      <c r="AK133" s="1096">
        <v>0</v>
      </c>
      <c r="AL133" s="1096">
        <v>12339391</v>
      </c>
      <c r="AM133" s="1096">
        <v>351073</v>
      </c>
      <c r="AN133" s="1096">
        <v>483159</v>
      </c>
      <c r="AO133" s="1096">
        <v>8079</v>
      </c>
      <c r="AP133" s="1096">
        <v>77232</v>
      </c>
      <c r="AQ133" s="1096">
        <v>41215</v>
      </c>
      <c r="AR133" s="1096">
        <v>1142380</v>
      </c>
      <c r="AS133" s="1096">
        <v>0</v>
      </c>
      <c r="AT133" s="1096">
        <v>618646</v>
      </c>
      <c r="AU133" s="1096">
        <v>0</v>
      </c>
    </row>
    <row r="134" spans="1:47" s="1077" customFormat="1" ht="30" x14ac:dyDescent="0.25">
      <c r="A134" s="99">
        <v>375</v>
      </c>
      <c r="B134" s="99"/>
      <c r="C134" s="1084">
        <v>375</v>
      </c>
      <c r="D134" s="1085" t="s">
        <v>1510</v>
      </c>
      <c r="E134" s="1091">
        <v>0</v>
      </c>
      <c r="F134" s="1071">
        <v>0</v>
      </c>
      <c r="G134" s="1071">
        <v>0</v>
      </c>
      <c r="H134" s="1071">
        <v>0</v>
      </c>
      <c r="I134" s="1071">
        <v>0</v>
      </c>
      <c r="J134" s="1072">
        <v>0</v>
      </c>
      <c r="K134" s="1096">
        <v>0</v>
      </c>
      <c r="L134" s="1097">
        <v>0</v>
      </c>
      <c r="M134" s="1097">
        <v>0</v>
      </c>
      <c r="N134" s="1097">
        <v>0</v>
      </c>
      <c r="O134" s="1097">
        <v>0</v>
      </c>
      <c r="P134" s="1097">
        <v>0</v>
      </c>
      <c r="Q134" s="1097">
        <v>0</v>
      </c>
      <c r="R134" s="1097">
        <v>0</v>
      </c>
      <c r="S134" s="1097">
        <v>0</v>
      </c>
      <c r="T134" s="1097">
        <v>0</v>
      </c>
      <c r="U134" s="1097">
        <v>0</v>
      </c>
      <c r="V134" s="1097">
        <v>0</v>
      </c>
      <c r="W134" s="1097">
        <v>0</v>
      </c>
      <c r="X134" s="1097">
        <v>0</v>
      </c>
      <c r="Y134" s="1097">
        <v>0</v>
      </c>
      <c r="Z134" s="1097">
        <v>0</v>
      </c>
      <c r="AA134" s="1096">
        <v>0</v>
      </c>
      <c r="AB134" s="1096">
        <v>0</v>
      </c>
      <c r="AC134" s="1096">
        <v>0</v>
      </c>
      <c r="AD134" s="1096">
        <v>0</v>
      </c>
      <c r="AE134" s="1096">
        <v>0</v>
      </c>
      <c r="AF134" s="1096">
        <v>0</v>
      </c>
      <c r="AG134" s="1096">
        <v>0</v>
      </c>
      <c r="AH134" s="1096">
        <v>0</v>
      </c>
      <c r="AI134" s="1096">
        <v>0</v>
      </c>
      <c r="AJ134" s="1096">
        <v>0</v>
      </c>
      <c r="AK134" s="1096">
        <v>0</v>
      </c>
      <c r="AL134" s="1096">
        <v>0</v>
      </c>
      <c r="AM134" s="1096">
        <v>0</v>
      </c>
      <c r="AN134" s="1096">
        <v>0</v>
      </c>
      <c r="AO134" s="1096">
        <v>0</v>
      </c>
      <c r="AP134" s="1096">
        <v>0</v>
      </c>
      <c r="AQ134" s="1096">
        <v>0</v>
      </c>
      <c r="AR134" s="1096">
        <v>0</v>
      </c>
      <c r="AS134" s="1096">
        <v>0</v>
      </c>
      <c r="AT134" s="1096">
        <v>0</v>
      </c>
      <c r="AU134" s="1096">
        <v>0</v>
      </c>
    </row>
    <row r="135" spans="1:47" s="1077" customFormat="1" ht="30" x14ac:dyDescent="0.25">
      <c r="A135" s="99">
        <v>376</v>
      </c>
      <c r="B135" s="1088">
        <v>376</v>
      </c>
      <c r="C135" s="1084">
        <v>376</v>
      </c>
      <c r="D135" s="1085" t="s">
        <v>108</v>
      </c>
      <c r="E135" s="1091">
        <v>0</v>
      </c>
      <c r="F135" s="1071">
        <v>0</v>
      </c>
      <c r="G135" s="1071">
        <v>0</v>
      </c>
      <c r="H135" s="1071">
        <v>0</v>
      </c>
      <c r="I135" s="1071">
        <v>0</v>
      </c>
      <c r="J135" s="1072">
        <v>0</v>
      </c>
      <c r="K135" s="1096">
        <v>0</v>
      </c>
      <c r="L135" s="1097">
        <v>0</v>
      </c>
      <c r="M135" s="1097">
        <v>0</v>
      </c>
      <c r="N135" s="1097">
        <v>0</v>
      </c>
      <c r="O135" s="1097">
        <v>0</v>
      </c>
      <c r="P135" s="1097">
        <v>0</v>
      </c>
      <c r="Q135" s="1097">
        <v>0</v>
      </c>
      <c r="R135" s="1097">
        <v>0</v>
      </c>
      <c r="S135" s="1097">
        <v>-1</v>
      </c>
      <c r="T135" s="1097">
        <v>0</v>
      </c>
      <c r="U135" s="1097">
        <v>0</v>
      </c>
      <c r="V135" s="1097">
        <v>0</v>
      </c>
      <c r="W135" s="1097">
        <v>0</v>
      </c>
      <c r="X135" s="1097">
        <v>0</v>
      </c>
      <c r="Y135" s="1097">
        <v>0</v>
      </c>
      <c r="Z135" s="1097">
        <v>0</v>
      </c>
      <c r="AA135" s="1096">
        <v>0</v>
      </c>
      <c r="AB135" s="1096">
        <v>0</v>
      </c>
      <c r="AC135" s="1096">
        <v>0</v>
      </c>
      <c r="AD135" s="1096">
        <v>0</v>
      </c>
      <c r="AE135" s="1096">
        <v>0</v>
      </c>
      <c r="AF135" s="1096">
        <v>0</v>
      </c>
      <c r="AG135" s="1096">
        <v>0</v>
      </c>
      <c r="AH135" s="1096">
        <v>0</v>
      </c>
      <c r="AI135" s="1096">
        <v>0</v>
      </c>
      <c r="AJ135" s="1096">
        <v>0</v>
      </c>
      <c r="AK135" s="1096">
        <v>0</v>
      </c>
      <c r="AL135" s="1096">
        <v>0</v>
      </c>
      <c r="AM135" s="1096">
        <v>0</v>
      </c>
      <c r="AN135" s="1096">
        <v>-1</v>
      </c>
      <c r="AO135" s="1096">
        <v>0</v>
      </c>
      <c r="AP135" s="1096">
        <v>0</v>
      </c>
      <c r="AQ135" s="1096">
        <v>0</v>
      </c>
      <c r="AR135" s="1096">
        <v>0</v>
      </c>
      <c r="AS135" s="1096">
        <v>0</v>
      </c>
      <c r="AT135" s="1096">
        <v>0</v>
      </c>
      <c r="AU135" s="1096">
        <v>0</v>
      </c>
    </row>
    <row r="136" spans="1:47" s="1077" customFormat="1" ht="30" x14ac:dyDescent="0.25">
      <c r="A136" s="99">
        <v>377</v>
      </c>
      <c r="B136" s="99"/>
      <c r="C136" s="1084">
        <v>377</v>
      </c>
      <c r="D136" s="1085" t="s">
        <v>1511</v>
      </c>
      <c r="E136" s="1091">
        <v>0</v>
      </c>
      <c r="F136" s="1071">
        <v>0</v>
      </c>
      <c r="G136" s="1071">
        <v>0</v>
      </c>
      <c r="H136" s="1071">
        <v>0</v>
      </c>
      <c r="I136" s="1071">
        <v>0</v>
      </c>
      <c r="J136" s="1072">
        <v>0</v>
      </c>
      <c r="K136" s="1096">
        <v>0</v>
      </c>
      <c r="L136" s="1097">
        <v>0</v>
      </c>
      <c r="M136" s="1097">
        <v>0</v>
      </c>
      <c r="N136" s="1097">
        <v>0</v>
      </c>
      <c r="O136" s="1097">
        <v>0</v>
      </c>
      <c r="P136" s="1097">
        <v>0</v>
      </c>
      <c r="Q136" s="1097">
        <v>0</v>
      </c>
      <c r="R136" s="1097">
        <v>0</v>
      </c>
      <c r="S136" s="1097">
        <v>0</v>
      </c>
      <c r="T136" s="1097">
        <v>0</v>
      </c>
      <c r="U136" s="1097">
        <v>0</v>
      </c>
      <c r="V136" s="1097">
        <v>0</v>
      </c>
      <c r="W136" s="1097">
        <v>0</v>
      </c>
      <c r="X136" s="1097">
        <v>0</v>
      </c>
      <c r="Y136" s="1097">
        <v>0</v>
      </c>
      <c r="Z136" s="1097">
        <v>0</v>
      </c>
      <c r="AA136" s="1096">
        <v>0</v>
      </c>
      <c r="AB136" s="1096">
        <v>0</v>
      </c>
      <c r="AC136" s="1096">
        <v>0</v>
      </c>
      <c r="AD136" s="1096">
        <v>0</v>
      </c>
      <c r="AE136" s="1096">
        <v>0</v>
      </c>
      <c r="AF136" s="1096">
        <v>0</v>
      </c>
      <c r="AG136" s="1096">
        <v>0</v>
      </c>
      <c r="AH136" s="1096">
        <v>0</v>
      </c>
      <c r="AI136" s="1096">
        <v>0</v>
      </c>
      <c r="AJ136" s="1096">
        <v>0</v>
      </c>
      <c r="AK136" s="1096">
        <v>0</v>
      </c>
      <c r="AL136" s="1096">
        <v>0</v>
      </c>
      <c r="AM136" s="1096">
        <v>0</v>
      </c>
      <c r="AN136" s="1096">
        <v>0</v>
      </c>
      <c r="AO136" s="1096">
        <v>0</v>
      </c>
      <c r="AP136" s="1096">
        <v>0</v>
      </c>
      <c r="AQ136" s="1096">
        <v>0</v>
      </c>
      <c r="AR136" s="1096">
        <v>0</v>
      </c>
      <c r="AS136" s="1096">
        <v>0</v>
      </c>
      <c r="AT136" s="1096">
        <v>0</v>
      </c>
      <c r="AU136" s="1096">
        <v>0</v>
      </c>
    </row>
    <row r="137" spans="1:47" s="1077" customFormat="1" ht="30" x14ac:dyDescent="0.25">
      <c r="A137" s="99">
        <v>378</v>
      </c>
      <c r="B137" s="99"/>
      <c r="C137" s="1084">
        <v>378</v>
      </c>
      <c r="D137" s="1085" t="s">
        <v>1512</v>
      </c>
      <c r="E137" s="1091">
        <v>0</v>
      </c>
      <c r="F137" s="1071">
        <v>0</v>
      </c>
      <c r="G137" s="1071">
        <v>0</v>
      </c>
      <c r="H137" s="1071">
        <v>0</v>
      </c>
      <c r="I137" s="1071">
        <v>0</v>
      </c>
      <c r="J137" s="1072">
        <v>0</v>
      </c>
      <c r="K137" s="1096">
        <v>0</v>
      </c>
      <c r="L137" s="1097">
        <v>0</v>
      </c>
      <c r="M137" s="1097">
        <v>0</v>
      </c>
      <c r="N137" s="1097">
        <v>0</v>
      </c>
      <c r="O137" s="1097">
        <v>0</v>
      </c>
      <c r="P137" s="1097">
        <v>0</v>
      </c>
      <c r="Q137" s="1097">
        <v>0</v>
      </c>
      <c r="R137" s="1097">
        <v>0</v>
      </c>
      <c r="S137" s="1097">
        <v>0</v>
      </c>
      <c r="T137" s="1097">
        <v>0</v>
      </c>
      <c r="U137" s="1097">
        <v>0</v>
      </c>
      <c r="V137" s="1097">
        <v>0</v>
      </c>
      <c r="W137" s="1097">
        <v>0</v>
      </c>
      <c r="X137" s="1097">
        <v>0</v>
      </c>
      <c r="Y137" s="1097">
        <v>0</v>
      </c>
      <c r="Z137" s="1097">
        <v>0</v>
      </c>
      <c r="AA137" s="1096">
        <v>0</v>
      </c>
      <c r="AB137" s="1096">
        <v>0</v>
      </c>
      <c r="AC137" s="1096">
        <v>0</v>
      </c>
      <c r="AD137" s="1096">
        <v>0</v>
      </c>
      <c r="AE137" s="1096">
        <v>0</v>
      </c>
      <c r="AF137" s="1096">
        <v>0</v>
      </c>
      <c r="AG137" s="1096">
        <v>0</v>
      </c>
      <c r="AH137" s="1096">
        <v>0</v>
      </c>
      <c r="AI137" s="1096">
        <v>0</v>
      </c>
      <c r="AJ137" s="1096">
        <v>0</v>
      </c>
      <c r="AK137" s="1096">
        <v>0</v>
      </c>
      <c r="AL137" s="1096">
        <v>0</v>
      </c>
      <c r="AM137" s="1096">
        <v>0</v>
      </c>
      <c r="AN137" s="1096">
        <v>0</v>
      </c>
      <c r="AO137" s="1096">
        <v>0</v>
      </c>
      <c r="AP137" s="1096">
        <v>0</v>
      </c>
      <c r="AQ137" s="1096">
        <v>0</v>
      </c>
      <c r="AR137" s="1096">
        <v>0</v>
      </c>
      <c r="AS137" s="1096">
        <v>0</v>
      </c>
      <c r="AT137" s="1096">
        <v>0</v>
      </c>
      <c r="AU137" s="1096">
        <v>0</v>
      </c>
    </row>
    <row r="138" spans="1:47" s="1077" customFormat="1" ht="30" x14ac:dyDescent="0.25">
      <c r="A138" s="99">
        <v>379</v>
      </c>
      <c r="B138" s="1088">
        <v>379</v>
      </c>
      <c r="C138" s="1084">
        <v>379</v>
      </c>
      <c r="D138" s="1085" t="s">
        <v>118</v>
      </c>
      <c r="E138" s="1091">
        <v>0</v>
      </c>
      <c r="F138" s="1071">
        <v>0</v>
      </c>
      <c r="G138" s="1071">
        <v>2080067</v>
      </c>
      <c r="H138" s="1071">
        <v>0</v>
      </c>
      <c r="I138" s="1071">
        <v>0</v>
      </c>
      <c r="J138" s="1072">
        <v>215961</v>
      </c>
      <c r="K138" s="1096">
        <v>1364441</v>
      </c>
      <c r="L138" s="1097">
        <v>0</v>
      </c>
      <c r="M138" s="1097">
        <v>0</v>
      </c>
      <c r="N138" s="1097">
        <v>0</v>
      </c>
      <c r="O138" s="1097">
        <v>0</v>
      </c>
      <c r="P138" s="1097">
        <v>0</v>
      </c>
      <c r="Q138" s="1097">
        <v>0</v>
      </c>
      <c r="R138" s="1097">
        <v>0</v>
      </c>
      <c r="S138" s="1097">
        <v>324494</v>
      </c>
      <c r="T138" s="1097">
        <v>0</v>
      </c>
      <c r="U138" s="1097">
        <v>139649</v>
      </c>
      <c r="V138" s="1097">
        <v>6336855</v>
      </c>
      <c r="W138" s="1097">
        <v>0</v>
      </c>
      <c r="X138" s="1097">
        <v>82524</v>
      </c>
      <c r="Y138" s="1097">
        <v>0</v>
      </c>
      <c r="Z138" s="1097">
        <v>200596</v>
      </c>
      <c r="AA138" s="1096">
        <v>583166</v>
      </c>
      <c r="AB138" s="1096">
        <v>0</v>
      </c>
      <c r="AC138" s="1096">
        <v>59093</v>
      </c>
      <c r="AD138" s="1096">
        <v>167163</v>
      </c>
      <c r="AE138" s="1096">
        <v>122190</v>
      </c>
      <c r="AF138" s="1096">
        <v>16579227</v>
      </c>
      <c r="AG138" s="1096">
        <v>0</v>
      </c>
      <c r="AH138" s="1096">
        <v>113968</v>
      </c>
      <c r="AI138" s="1096">
        <v>0</v>
      </c>
      <c r="AJ138" s="1096">
        <v>11445614</v>
      </c>
      <c r="AK138" s="1096">
        <v>4461694</v>
      </c>
      <c r="AL138" s="1096">
        <v>45566629</v>
      </c>
      <c r="AM138" s="1096">
        <v>1059086</v>
      </c>
      <c r="AN138" s="1096">
        <v>58394</v>
      </c>
      <c r="AO138" s="1096">
        <v>265423</v>
      </c>
      <c r="AP138" s="1096">
        <v>32636</v>
      </c>
      <c r="AQ138" s="1096">
        <v>74782</v>
      </c>
      <c r="AR138" s="1096">
        <v>1307613</v>
      </c>
      <c r="AS138" s="1096">
        <v>0</v>
      </c>
      <c r="AT138" s="1096">
        <v>0</v>
      </c>
      <c r="AU138" s="1096">
        <v>276214</v>
      </c>
    </row>
    <row r="139" spans="1:47" s="1077" customFormat="1" ht="30" x14ac:dyDescent="0.25">
      <c r="A139" s="99">
        <v>380</v>
      </c>
      <c r="B139" s="1088">
        <v>380</v>
      </c>
      <c r="C139" s="1084">
        <v>380</v>
      </c>
      <c r="D139" s="1085" t="s">
        <v>121</v>
      </c>
      <c r="E139" s="1091">
        <v>0</v>
      </c>
      <c r="F139" s="1071">
        <v>0</v>
      </c>
      <c r="G139" s="1071">
        <v>0</v>
      </c>
      <c r="H139" s="1071">
        <v>0</v>
      </c>
      <c r="I139" s="1071">
        <v>0</v>
      </c>
      <c r="J139" s="1072">
        <v>1408</v>
      </c>
      <c r="K139" s="1096">
        <v>0</v>
      </c>
      <c r="L139" s="1097">
        <v>0</v>
      </c>
      <c r="M139" s="1097">
        <v>0</v>
      </c>
      <c r="N139" s="1097">
        <v>0</v>
      </c>
      <c r="O139" s="1097">
        <v>0</v>
      </c>
      <c r="P139" s="1097">
        <v>0</v>
      </c>
      <c r="Q139" s="1097">
        <v>0</v>
      </c>
      <c r="R139" s="1097">
        <v>0</v>
      </c>
      <c r="S139" s="1097">
        <v>0</v>
      </c>
      <c r="T139" s="1097">
        <v>0</v>
      </c>
      <c r="U139" s="1097">
        <v>512</v>
      </c>
      <c r="V139" s="1097">
        <v>2080</v>
      </c>
      <c r="W139" s="1097">
        <v>0</v>
      </c>
      <c r="X139" s="1097">
        <v>0</v>
      </c>
      <c r="Y139" s="1097">
        <v>0</v>
      </c>
      <c r="Z139" s="1097">
        <v>0</v>
      </c>
      <c r="AA139" s="1096">
        <v>7374</v>
      </c>
      <c r="AB139" s="1096">
        <v>0</v>
      </c>
      <c r="AC139" s="1096">
        <v>0</v>
      </c>
      <c r="AD139" s="1096">
        <v>0</v>
      </c>
      <c r="AE139" s="1096">
        <v>0</v>
      </c>
      <c r="AF139" s="1096">
        <v>1342437</v>
      </c>
      <c r="AG139" s="1096">
        <v>0</v>
      </c>
      <c r="AH139" s="1096">
        <v>51</v>
      </c>
      <c r="AI139" s="1096">
        <v>0</v>
      </c>
      <c r="AJ139" s="1096">
        <v>0</v>
      </c>
      <c r="AK139" s="1096">
        <v>2808</v>
      </c>
      <c r="AL139" s="1096">
        <v>0</v>
      </c>
      <c r="AM139" s="1096">
        <v>5710</v>
      </c>
      <c r="AN139" s="1096">
        <v>0</v>
      </c>
      <c r="AO139" s="1096">
        <v>0</v>
      </c>
      <c r="AP139" s="1096">
        <v>766</v>
      </c>
      <c r="AQ139" s="1096">
        <v>5053</v>
      </c>
      <c r="AR139" s="1096">
        <v>0</v>
      </c>
      <c r="AS139" s="1096">
        <v>0</v>
      </c>
      <c r="AT139" s="1096">
        <v>0</v>
      </c>
      <c r="AU139" s="1096">
        <v>0</v>
      </c>
    </row>
    <row r="140" spans="1:47" s="1077" customFormat="1" x14ac:dyDescent="0.25">
      <c r="A140" s="99">
        <v>381</v>
      </c>
      <c r="B140" s="99"/>
      <c r="C140" s="1084">
        <v>381</v>
      </c>
      <c r="D140" s="1085" t="s">
        <v>1513</v>
      </c>
      <c r="E140" s="1091">
        <v>0</v>
      </c>
      <c r="F140" s="1071">
        <v>0</v>
      </c>
      <c r="G140" s="1071">
        <v>0</v>
      </c>
      <c r="H140" s="1071">
        <v>0</v>
      </c>
      <c r="I140" s="1071">
        <v>0</v>
      </c>
      <c r="J140" s="1072">
        <v>0</v>
      </c>
      <c r="K140" s="1096">
        <v>0</v>
      </c>
      <c r="L140" s="1097">
        <v>0</v>
      </c>
      <c r="M140" s="1097">
        <v>0</v>
      </c>
      <c r="N140" s="1097">
        <v>0</v>
      </c>
      <c r="O140" s="1097">
        <v>0</v>
      </c>
      <c r="P140" s="1097">
        <v>0</v>
      </c>
      <c r="Q140" s="1097">
        <v>0</v>
      </c>
      <c r="R140" s="1097">
        <v>0</v>
      </c>
      <c r="S140" s="1097">
        <v>0</v>
      </c>
      <c r="T140" s="1097">
        <v>0</v>
      </c>
      <c r="U140" s="1097">
        <v>0</v>
      </c>
      <c r="V140" s="1097">
        <v>0</v>
      </c>
      <c r="W140" s="1097">
        <v>0</v>
      </c>
      <c r="X140" s="1097">
        <v>0</v>
      </c>
      <c r="Y140" s="1097">
        <v>0</v>
      </c>
      <c r="Z140" s="1097">
        <v>0</v>
      </c>
      <c r="AA140" s="1096">
        <v>0</v>
      </c>
      <c r="AB140" s="1096">
        <v>0</v>
      </c>
      <c r="AC140" s="1096">
        <v>0</v>
      </c>
      <c r="AD140" s="1096">
        <v>0</v>
      </c>
      <c r="AE140" s="1096">
        <v>0</v>
      </c>
      <c r="AF140" s="1096">
        <v>0</v>
      </c>
      <c r="AG140" s="1096">
        <v>0</v>
      </c>
      <c r="AH140" s="1096">
        <v>0</v>
      </c>
      <c r="AI140" s="1096">
        <v>0</v>
      </c>
      <c r="AJ140" s="1096">
        <v>0</v>
      </c>
      <c r="AK140" s="1096">
        <v>0</v>
      </c>
      <c r="AL140" s="1096">
        <v>0</v>
      </c>
      <c r="AM140" s="1096">
        <v>0</v>
      </c>
      <c r="AN140" s="1096">
        <v>0</v>
      </c>
      <c r="AO140" s="1096">
        <v>0</v>
      </c>
      <c r="AP140" s="1096">
        <v>0</v>
      </c>
      <c r="AQ140" s="1096">
        <v>0</v>
      </c>
      <c r="AR140" s="1096">
        <v>0</v>
      </c>
      <c r="AS140" s="1096">
        <v>0</v>
      </c>
      <c r="AT140" s="1096">
        <v>0</v>
      </c>
      <c r="AU140" s="1096">
        <v>0</v>
      </c>
    </row>
    <row r="141" spans="1:47" s="1077" customFormat="1" x14ac:dyDescent="0.25">
      <c r="A141" s="99">
        <v>382</v>
      </c>
      <c r="B141" s="99"/>
      <c r="C141" s="1084">
        <v>382</v>
      </c>
      <c r="D141" s="1085" t="s">
        <v>1514</v>
      </c>
      <c r="E141" s="1091">
        <v>0</v>
      </c>
      <c r="F141" s="1071">
        <v>0</v>
      </c>
      <c r="G141" s="1071">
        <v>0</v>
      </c>
      <c r="H141" s="1071">
        <v>0</v>
      </c>
      <c r="I141" s="1071">
        <v>0</v>
      </c>
      <c r="J141" s="1072">
        <v>0</v>
      </c>
      <c r="K141" s="1096">
        <v>0</v>
      </c>
      <c r="L141" s="1097">
        <v>0</v>
      </c>
      <c r="M141" s="1097">
        <v>0</v>
      </c>
      <c r="N141" s="1097">
        <v>0</v>
      </c>
      <c r="O141" s="1097">
        <v>0</v>
      </c>
      <c r="P141" s="1097">
        <v>0</v>
      </c>
      <c r="Q141" s="1097">
        <v>0</v>
      </c>
      <c r="R141" s="1097">
        <v>0</v>
      </c>
      <c r="S141" s="1097">
        <v>0</v>
      </c>
      <c r="T141" s="1097">
        <v>0</v>
      </c>
      <c r="U141" s="1097">
        <v>0</v>
      </c>
      <c r="V141" s="1097">
        <v>0</v>
      </c>
      <c r="W141" s="1097">
        <v>0</v>
      </c>
      <c r="X141" s="1097">
        <v>0</v>
      </c>
      <c r="Y141" s="1097">
        <v>0</v>
      </c>
      <c r="Z141" s="1097">
        <v>0</v>
      </c>
      <c r="AA141" s="1096">
        <v>0</v>
      </c>
      <c r="AB141" s="1096">
        <v>0</v>
      </c>
      <c r="AC141" s="1096">
        <v>0</v>
      </c>
      <c r="AD141" s="1096">
        <v>0</v>
      </c>
      <c r="AE141" s="1096">
        <v>0</v>
      </c>
      <c r="AF141" s="1096">
        <v>0</v>
      </c>
      <c r="AG141" s="1096">
        <v>0</v>
      </c>
      <c r="AH141" s="1096">
        <v>0</v>
      </c>
      <c r="AI141" s="1096">
        <v>0</v>
      </c>
      <c r="AJ141" s="1096">
        <v>0</v>
      </c>
      <c r="AK141" s="1096">
        <v>0</v>
      </c>
      <c r="AL141" s="1096">
        <v>0</v>
      </c>
      <c r="AM141" s="1096">
        <v>0</v>
      </c>
      <c r="AN141" s="1096">
        <v>0</v>
      </c>
      <c r="AO141" s="1096">
        <v>0</v>
      </c>
      <c r="AP141" s="1096">
        <v>0</v>
      </c>
      <c r="AQ141" s="1096">
        <v>0</v>
      </c>
      <c r="AR141" s="1096">
        <v>0</v>
      </c>
      <c r="AS141" s="1096">
        <v>0</v>
      </c>
      <c r="AT141" s="1096">
        <v>0</v>
      </c>
      <c r="AU141" s="1096">
        <v>0</v>
      </c>
    </row>
    <row r="142" spans="1:47" s="1077" customFormat="1" ht="30" x14ac:dyDescent="0.25">
      <c r="A142" s="99">
        <v>383</v>
      </c>
      <c r="B142" s="99"/>
      <c r="C142" s="1084">
        <v>383</v>
      </c>
      <c r="D142" s="1085" t="s">
        <v>1515</v>
      </c>
      <c r="E142" s="1091">
        <v>0</v>
      </c>
      <c r="F142" s="1071">
        <v>0</v>
      </c>
      <c r="G142" s="1071">
        <v>0</v>
      </c>
      <c r="H142" s="1071">
        <v>0</v>
      </c>
      <c r="I142" s="1071">
        <v>0</v>
      </c>
      <c r="J142" s="1072">
        <v>0</v>
      </c>
      <c r="K142" s="1096">
        <v>0</v>
      </c>
      <c r="L142" s="1097">
        <v>0</v>
      </c>
      <c r="M142" s="1097">
        <v>0</v>
      </c>
      <c r="N142" s="1097">
        <v>0</v>
      </c>
      <c r="O142" s="1097">
        <v>0</v>
      </c>
      <c r="P142" s="1097">
        <v>0</v>
      </c>
      <c r="Q142" s="1097">
        <v>0</v>
      </c>
      <c r="R142" s="1097">
        <v>0</v>
      </c>
      <c r="S142" s="1097">
        <v>0</v>
      </c>
      <c r="T142" s="1097">
        <v>0</v>
      </c>
      <c r="U142" s="1097">
        <v>0</v>
      </c>
      <c r="V142" s="1097">
        <v>0</v>
      </c>
      <c r="W142" s="1097">
        <v>0</v>
      </c>
      <c r="X142" s="1097">
        <v>0</v>
      </c>
      <c r="Y142" s="1097">
        <v>0</v>
      </c>
      <c r="Z142" s="1097">
        <v>0</v>
      </c>
      <c r="AA142" s="1096">
        <v>0</v>
      </c>
      <c r="AB142" s="1096">
        <v>0</v>
      </c>
      <c r="AC142" s="1096">
        <v>0</v>
      </c>
      <c r="AD142" s="1096">
        <v>0</v>
      </c>
      <c r="AE142" s="1096">
        <v>0</v>
      </c>
      <c r="AF142" s="1096">
        <v>0</v>
      </c>
      <c r="AG142" s="1096">
        <v>0</v>
      </c>
      <c r="AH142" s="1096">
        <v>0</v>
      </c>
      <c r="AI142" s="1096">
        <v>0</v>
      </c>
      <c r="AJ142" s="1096">
        <v>0</v>
      </c>
      <c r="AK142" s="1096">
        <v>0</v>
      </c>
      <c r="AL142" s="1096">
        <v>0</v>
      </c>
      <c r="AM142" s="1096">
        <v>0</v>
      </c>
      <c r="AN142" s="1096">
        <v>0</v>
      </c>
      <c r="AO142" s="1096">
        <v>0</v>
      </c>
      <c r="AP142" s="1096">
        <v>0</v>
      </c>
      <c r="AQ142" s="1096">
        <v>0</v>
      </c>
      <c r="AR142" s="1096">
        <v>0</v>
      </c>
      <c r="AS142" s="1096">
        <v>0</v>
      </c>
      <c r="AT142" s="1096">
        <v>0</v>
      </c>
      <c r="AU142" s="1096">
        <v>0</v>
      </c>
    </row>
    <row r="143" spans="1:47" s="1077" customFormat="1" ht="30" x14ac:dyDescent="0.25">
      <c r="A143" s="99">
        <v>384</v>
      </c>
      <c r="B143" s="99"/>
      <c r="C143" s="1084">
        <v>384</v>
      </c>
      <c r="D143" s="1085" t="s">
        <v>1516</v>
      </c>
      <c r="E143" s="1091">
        <v>0</v>
      </c>
      <c r="F143" s="1071">
        <v>0</v>
      </c>
      <c r="G143" s="1071">
        <v>0</v>
      </c>
      <c r="H143" s="1071">
        <v>0</v>
      </c>
      <c r="I143" s="1071">
        <v>0</v>
      </c>
      <c r="J143" s="1072">
        <v>0</v>
      </c>
      <c r="K143" s="1096">
        <v>0</v>
      </c>
      <c r="L143" s="1097">
        <v>0</v>
      </c>
      <c r="M143" s="1097">
        <v>0</v>
      </c>
      <c r="N143" s="1097">
        <v>0</v>
      </c>
      <c r="O143" s="1097">
        <v>0</v>
      </c>
      <c r="P143" s="1097">
        <v>0</v>
      </c>
      <c r="Q143" s="1097">
        <v>0</v>
      </c>
      <c r="R143" s="1097">
        <v>0</v>
      </c>
      <c r="S143" s="1097">
        <v>0</v>
      </c>
      <c r="T143" s="1097">
        <v>0</v>
      </c>
      <c r="U143" s="1097">
        <v>0</v>
      </c>
      <c r="V143" s="1097">
        <v>0</v>
      </c>
      <c r="W143" s="1097">
        <v>0</v>
      </c>
      <c r="X143" s="1097">
        <v>0</v>
      </c>
      <c r="Y143" s="1097">
        <v>0</v>
      </c>
      <c r="Z143" s="1097">
        <v>0</v>
      </c>
      <c r="AA143" s="1096">
        <v>0</v>
      </c>
      <c r="AB143" s="1096">
        <v>0</v>
      </c>
      <c r="AC143" s="1096">
        <v>0</v>
      </c>
      <c r="AD143" s="1096">
        <v>0</v>
      </c>
      <c r="AE143" s="1096">
        <v>0</v>
      </c>
      <c r="AF143" s="1096">
        <v>0</v>
      </c>
      <c r="AG143" s="1096">
        <v>0</v>
      </c>
      <c r="AH143" s="1096">
        <v>0</v>
      </c>
      <c r="AI143" s="1096">
        <v>0</v>
      </c>
      <c r="AJ143" s="1096">
        <v>0</v>
      </c>
      <c r="AK143" s="1096">
        <v>0</v>
      </c>
      <c r="AL143" s="1096">
        <v>0</v>
      </c>
      <c r="AM143" s="1096">
        <v>0</v>
      </c>
      <c r="AN143" s="1096">
        <v>0</v>
      </c>
      <c r="AO143" s="1096">
        <v>0</v>
      </c>
      <c r="AP143" s="1096">
        <v>0</v>
      </c>
      <c r="AQ143" s="1096">
        <v>0</v>
      </c>
      <c r="AR143" s="1096">
        <v>0</v>
      </c>
      <c r="AS143" s="1096">
        <v>0</v>
      </c>
      <c r="AT143" s="1096">
        <v>0</v>
      </c>
      <c r="AU143" s="1096">
        <v>0</v>
      </c>
    </row>
    <row r="144" spans="1:47" s="1077" customFormat="1" ht="30" x14ac:dyDescent="0.25">
      <c r="A144" s="99">
        <v>385</v>
      </c>
      <c r="B144" s="1088">
        <v>385</v>
      </c>
      <c r="C144" s="1084">
        <v>385</v>
      </c>
      <c r="D144" s="1085" t="s">
        <v>115</v>
      </c>
      <c r="E144" s="1091">
        <v>0</v>
      </c>
      <c r="F144" s="1071">
        <v>0</v>
      </c>
      <c r="G144" s="1071">
        <v>2080863</v>
      </c>
      <c r="H144" s="1071">
        <v>0</v>
      </c>
      <c r="I144" s="1071">
        <v>0</v>
      </c>
      <c r="J144" s="1072">
        <v>879664</v>
      </c>
      <c r="K144" s="1096">
        <v>1991790</v>
      </c>
      <c r="L144" s="1097">
        <v>0</v>
      </c>
      <c r="M144" s="1097">
        <v>0</v>
      </c>
      <c r="N144" s="1097">
        <v>0</v>
      </c>
      <c r="O144" s="1097">
        <v>0</v>
      </c>
      <c r="P144" s="1097">
        <v>0</v>
      </c>
      <c r="Q144" s="1097">
        <v>0</v>
      </c>
      <c r="R144" s="1097">
        <v>0</v>
      </c>
      <c r="S144" s="1097">
        <v>324494</v>
      </c>
      <c r="T144" s="1097">
        <v>0</v>
      </c>
      <c r="U144" s="1097">
        <v>139725</v>
      </c>
      <c r="V144" s="1097">
        <v>6336855</v>
      </c>
      <c r="W144" s="1097">
        <v>0</v>
      </c>
      <c r="X144" s="1097">
        <v>121734</v>
      </c>
      <c r="Y144" s="1097">
        <v>0</v>
      </c>
      <c r="Z144" s="1097">
        <v>349483</v>
      </c>
      <c r="AA144" s="1096">
        <v>2177865</v>
      </c>
      <c r="AB144" s="1096">
        <v>0</v>
      </c>
      <c r="AC144" s="1096">
        <v>102706</v>
      </c>
      <c r="AD144" s="1096">
        <v>167163</v>
      </c>
      <c r="AE144" s="1096">
        <v>220891</v>
      </c>
      <c r="AF144" s="1096">
        <v>36961060</v>
      </c>
      <c r="AG144" s="1096">
        <v>0</v>
      </c>
      <c r="AH144" s="1096">
        <v>113976</v>
      </c>
      <c r="AI144" s="1096">
        <v>0</v>
      </c>
      <c r="AJ144" s="1096">
        <v>35134143</v>
      </c>
      <c r="AK144" s="1096">
        <v>4461694</v>
      </c>
      <c r="AL144" s="1096">
        <v>493424833</v>
      </c>
      <c r="AM144" s="1096">
        <v>2491186</v>
      </c>
      <c r="AN144" s="1096">
        <v>646426</v>
      </c>
      <c r="AO144" s="1096">
        <v>340971</v>
      </c>
      <c r="AP144" s="1096">
        <v>35389</v>
      </c>
      <c r="AQ144" s="1096">
        <v>194254</v>
      </c>
      <c r="AR144" s="1096">
        <v>2989857</v>
      </c>
      <c r="AS144" s="1096">
        <v>0</v>
      </c>
      <c r="AT144" s="1096">
        <v>0</v>
      </c>
      <c r="AU144" s="1096">
        <v>276214</v>
      </c>
    </row>
    <row r="145" spans="1:47" s="1077" customFormat="1" x14ac:dyDescent="0.25">
      <c r="A145" s="99">
        <v>386</v>
      </c>
      <c r="B145" s="1088">
        <v>386</v>
      </c>
      <c r="C145" s="1084">
        <v>386</v>
      </c>
      <c r="D145" s="1085" t="s">
        <v>194</v>
      </c>
      <c r="E145" s="1091">
        <v>0</v>
      </c>
      <c r="F145" s="1071">
        <v>0</v>
      </c>
      <c r="G145" s="1071">
        <v>0</v>
      </c>
      <c r="H145" s="1071">
        <v>0</v>
      </c>
      <c r="I145" s="1071">
        <v>0</v>
      </c>
      <c r="J145" s="1072">
        <v>0</v>
      </c>
      <c r="K145" s="1096">
        <v>0</v>
      </c>
      <c r="L145" s="1097">
        <v>0</v>
      </c>
      <c r="M145" s="1097">
        <v>0</v>
      </c>
      <c r="N145" s="1097">
        <v>0</v>
      </c>
      <c r="O145" s="1097">
        <v>0</v>
      </c>
      <c r="P145" s="1097">
        <v>0</v>
      </c>
      <c r="Q145" s="1097">
        <v>0</v>
      </c>
      <c r="R145" s="1097">
        <v>0</v>
      </c>
      <c r="S145" s="1097">
        <v>0</v>
      </c>
      <c r="T145" s="1097">
        <v>0</v>
      </c>
      <c r="U145" s="1097">
        <v>0</v>
      </c>
      <c r="V145" s="1097">
        <v>0</v>
      </c>
      <c r="W145" s="1097">
        <v>0</v>
      </c>
      <c r="X145" s="1097">
        <v>0</v>
      </c>
      <c r="Y145" s="1097">
        <v>0</v>
      </c>
      <c r="Z145" s="1097">
        <v>0</v>
      </c>
      <c r="AA145" s="1096">
        <v>0</v>
      </c>
      <c r="AB145" s="1096">
        <v>0</v>
      </c>
      <c r="AC145" s="1096">
        <v>0</v>
      </c>
      <c r="AD145" s="1096">
        <v>0</v>
      </c>
      <c r="AE145" s="1096">
        <v>0</v>
      </c>
      <c r="AF145" s="1096">
        <v>0</v>
      </c>
      <c r="AG145" s="1096">
        <v>0</v>
      </c>
      <c r="AH145" s="1096">
        <v>0</v>
      </c>
      <c r="AI145" s="1096">
        <v>0</v>
      </c>
      <c r="AJ145" s="1096">
        <v>0</v>
      </c>
      <c r="AK145" s="1096">
        <v>0</v>
      </c>
      <c r="AL145" s="1096">
        <v>0</v>
      </c>
      <c r="AM145" s="1096">
        <v>0</v>
      </c>
      <c r="AN145" s="1096">
        <v>0</v>
      </c>
      <c r="AO145" s="1096">
        <v>0</v>
      </c>
      <c r="AP145" s="1096">
        <v>0</v>
      </c>
      <c r="AQ145" s="1096">
        <v>0</v>
      </c>
      <c r="AR145" s="1096">
        <v>0</v>
      </c>
      <c r="AS145" s="1096">
        <v>0</v>
      </c>
      <c r="AT145" s="1096">
        <v>0</v>
      </c>
      <c r="AU145" s="1096">
        <v>0</v>
      </c>
    </row>
    <row r="146" spans="1:47" s="1077" customFormat="1" x14ac:dyDescent="0.25">
      <c r="A146" s="99">
        <v>387</v>
      </c>
      <c r="B146" s="1088">
        <v>387</v>
      </c>
      <c r="C146" s="1084">
        <v>387</v>
      </c>
      <c r="D146" s="1085" t="s">
        <v>195</v>
      </c>
      <c r="E146" s="1091">
        <v>0</v>
      </c>
      <c r="F146" s="1071">
        <v>0</v>
      </c>
      <c r="G146" s="1071">
        <v>0</v>
      </c>
      <c r="H146" s="1071">
        <v>0</v>
      </c>
      <c r="I146" s="1071">
        <v>0</v>
      </c>
      <c r="J146" s="1072">
        <v>0</v>
      </c>
      <c r="K146" s="1096">
        <v>0</v>
      </c>
      <c r="L146" s="1097">
        <v>0</v>
      </c>
      <c r="M146" s="1097">
        <v>0</v>
      </c>
      <c r="N146" s="1097">
        <v>0</v>
      </c>
      <c r="O146" s="1097">
        <v>0</v>
      </c>
      <c r="P146" s="1097">
        <v>0</v>
      </c>
      <c r="Q146" s="1097">
        <v>0</v>
      </c>
      <c r="R146" s="1097">
        <v>0</v>
      </c>
      <c r="S146" s="1097">
        <v>0</v>
      </c>
      <c r="T146" s="1097">
        <v>0</v>
      </c>
      <c r="U146" s="1097">
        <v>0</v>
      </c>
      <c r="V146" s="1097">
        <v>0</v>
      </c>
      <c r="W146" s="1097">
        <v>0</v>
      </c>
      <c r="X146" s="1097">
        <v>0</v>
      </c>
      <c r="Y146" s="1097">
        <v>0</v>
      </c>
      <c r="Z146" s="1097">
        <v>0</v>
      </c>
      <c r="AA146" s="1096">
        <v>0</v>
      </c>
      <c r="AB146" s="1096">
        <v>0</v>
      </c>
      <c r="AC146" s="1096">
        <v>0</v>
      </c>
      <c r="AD146" s="1096">
        <v>0</v>
      </c>
      <c r="AE146" s="1096">
        <v>0</v>
      </c>
      <c r="AF146" s="1096">
        <v>0</v>
      </c>
      <c r="AG146" s="1096">
        <v>0</v>
      </c>
      <c r="AH146" s="1096">
        <v>0</v>
      </c>
      <c r="AI146" s="1096">
        <v>0</v>
      </c>
      <c r="AJ146" s="1096">
        <v>276798</v>
      </c>
      <c r="AK146" s="1096">
        <v>0</v>
      </c>
      <c r="AL146" s="1096">
        <v>10559497</v>
      </c>
      <c r="AM146" s="1096">
        <v>0</v>
      </c>
      <c r="AN146" s="1096">
        <v>0</v>
      </c>
      <c r="AO146" s="1096">
        <v>0</v>
      </c>
      <c r="AP146" s="1096">
        <v>0</v>
      </c>
      <c r="AQ146" s="1096">
        <v>0</v>
      </c>
      <c r="AR146" s="1096">
        <v>0</v>
      </c>
      <c r="AS146" s="1096">
        <v>0</v>
      </c>
      <c r="AT146" s="1096">
        <v>0</v>
      </c>
      <c r="AU146" s="1096">
        <v>0</v>
      </c>
    </row>
    <row r="147" spans="1:47" s="1077" customFormat="1" x14ac:dyDescent="0.25">
      <c r="A147" s="99">
        <v>388</v>
      </c>
      <c r="B147" s="1088">
        <v>388</v>
      </c>
      <c r="C147" s="1084">
        <v>388</v>
      </c>
      <c r="D147" s="1085" t="s">
        <v>189</v>
      </c>
      <c r="E147" s="1091">
        <v>0</v>
      </c>
      <c r="F147" s="1071">
        <v>0</v>
      </c>
      <c r="G147" s="1071">
        <v>8061094</v>
      </c>
      <c r="H147" s="1071">
        <v>0</v>
      </c>
      <c r="I147" s="1071">
        <v>0</v>
      </c>
      <c r="J147" s="1072">
        <v>362836</v>
      </c>
      <c r="K147" s="1096">
        <v>2622571</v>
      </c>
      <c r="L147" s="1097">
        <v>0</v>
      </c>
      <c r="M147" s="1097">
        <v>0</v>
      </c>
      <c r="N147" s="1097">
        <v>0</v>
      </c>
      <c r="O147" s="1097">
        <v>0</v>
      </c>
      <c r="P147" s="1097">
        <v>0</v>
      </c>
      <c r="Q147" s="1097">
        <v>0</v>
      </c>
      <c r="R147" s="1097">
        <v>0</v>
      </c>
      <c r="S147" s="1097">
        <v>16879</v>
      </c>
      <c r="T147" s="1097">
        <v>0</v>
      </c>
      <c r="U147" s="1097">
        <v>73560</v>
      </c>
      <c r="V147" s="1097">
        <v>1449524</v>
      </c>
      <c r="W147" s="1097">
        <v>0</v>
      </c>
      <c r="X147" s="1097">
        <v>242393</v>
      </c>
      <c r="Y147" s="1097">
        <v>0</v>
      </c>
      <c r="Z147" s="1097">
        <v>10697</v>
      </c>
      <c r="AA147" s="1096">
        <v>239504</v>
      </c>
      <c r="AB147" s="1096">
        <v>0</v>
      </c>
      <c r="AC147" s="1096">
        <v>102752</v>
      </c>
      <c r="AD147" s="1096">
        <v>55528</v>
      </c>
      <c r="AE147" s="1096">
        <v>638866</v>
      </c>
      <c r="AF147" s="1096">
        <v>69184307</v>
      </c>
      <c r="AG147" s="1096">
        <v>0</v>
      </c>
      <c r="AH147" s="1096">
        <v>11618</v>
      </c>
      <c r="AI147" s="1096">
        <v>0</v>
      </c>
      <c r="AJ147" s="1096">
        <v>9323742</v>
      </c>
      <c r="AK147" s="1096">
        <v>1841632</v>
      </c>
      <c r="AL147" s="1096">
        <v>68175495</v>
      </c>
      <c r="AM147" s="1096">
        <v>139820</v>
      </c>
      <c r="AN147" s="1096">
        <v>62400</v>
      </c>
      <c r="AO147" s="1096">
        <v>62724</v>
      </c>
      <c r="AP147" s="1096">
        <v>6536</v>
      </c>
      <c r="AQ147" s="1096">
        <v>58868</v>
      </c>
      <c r="AR147" s="1096">
        <v>2331388</v>
      </c>
      <c r="AS147" s="1096">
        <v>0</v>
      </c>
      <c r="AT147" s="1096">
        <v>0</v>
      </c>
      <c r="AU147" s="1096">
        <v>83789</v>
      </c>
    </row>
    <row r="148" spans="1:47" s="1077" customFormat="1" x14ac:dyDescent="0.25">
      <c r="A148" s="99">
        <v>389</v>
      </c>
      <c r="B148" s="1088">
        <v>389</v>
      </c>
      <c r="C148" s="1084">
        <v>389</v>
      </c>
      <c r="D148" s="1085" t="s">
        <v>196</v>
      </c>
      <c r="E148" s="1091">
        <v>0</v>
      </c>
      <c r="F148" s="1071">
        <v>0</v>
      </c>
      <c r="G148" s="1071">
        <v>0</v>
      </c>
      <c r="H148" s="1071">
        <v>0</v>
      </c>
      <c r="I148" s="1071">
        <v>0</v>
      </c>
      <c r="J148" s="1072">
        <v>0</v>
      </c>
      <c r="K148" s="1096">
        <v>0</v>
      </c>
      <c r="L148" s="1097">
        <v>0</v>
      </c>
      <c r="M148" s="1097">
        <v>0</v>
      </c>
      <c r="N148" s="1097">
        <v>0</v>
      </c>
      <c r="O148" s="1097">
        <v>0</v>
      </c>
      <c r="P148" s="1097">
        <v>0</v>
      </c>
      <c r="Q148" s="1097">
        <v>0</v>
      </c>
      <c r="R148" s="1097">
        <v>0</v>
      </c>
      <c r="S148" s="1097">
        <v>0</v>
      </c>
      <c r="T148" s="1097">
        <v>0</v>
      </c>
      <c r="U148" s="1097">
        <v>0</v>
      </c>
      <c r="V148" s="1097">
        <v>0</v>
      </c>
      <c r="W148" s="1097">
        <v>0</v>
      </c>
      <c r="X148" s="1097">
        <v>0</v>
      </c>
      <c r="Y148" s="1097">
        <v>0</v>
      </c>
      <c r="Z148" s="1097">
        <v>0</v>
      </c>
      <c r="AA148" s="1096">
        <v>0</v>
      </c>
      <c r="AB148" s="1096">
        <v>0</v>
      </c>
      <c r="AC148" s="1096">
        <v>0</v>
      </c>
      <c r="AD148" s="1096">
        <v>0</v>
      </c>
      <c r="AE148" s="1096">
        <v>0</v>
      </c>
      <c r="AF148" s="1096">
        <v>0</v>
      </c>
      <c r="AG148" s="1096">
        <v>0</v>
      </c>
      <c r="AH148" s="1096">
        <v>0</v>
      </c>
      <c r="AI148" s="1096">
        <v>0</v>
      </c>
      <c r="AJ148" s="1096">
        <v>0</v>
      </c>
      <c r="AK148" s="1096">
        <v>0</v>
      </c>
      <c r="AL148" s="1096">
        <v>-880322</v>
      </c>
      <c r="AM148" s="1096">
        <v>0</v>
      </c>
      <c r="AN148" s="1096">
        <v>-59650</v>
      </c>
      <c r="AO148" s="1096">
        <v>0</v>
      </c>
      <c r="AP148" s="1096">
        <v>0</v>
      </c>
      <c r="AQ148" s="1096">
        <v>0</v>
      </c>
      <c r="AR148" s="1096">
        <v>0</v>
      </c>
      <c r="AS148" s="1096">
        <v>0</v>
      </c>
      <c r="AT148" s="1096">
        <v>0</v>
      </c>
      <c r="AU148" s="1096">
        <v>0</v>
      </c>
    </row>
    <row r="149" spans="1:47" s="1077" customFormat="1" x14ac:dyDescent="0.25">
      <c r="A149" s="99">
        <v>391</v>
      </c>
      <c r="B149" s="1088">
        <v>391</v>
      </c>
      <c r="C149" s="1084">
        <v>391</v>
      </c>
      <c r="D149" s="1085" t="s">
        <v>201</v>
      </c>
      <c r="E149" s="1091">
        <v>0</v>
      </c>
      <c r="F149" s="1071">
        <v>0</v>
      </c>
      <c r="G149" s="1071">
        <v>578837</v>
      </c>
      <c r="H149" s="1071">
        <v>0</v>
      </c>
      <c r="I149" s="1071">
        <v>0</v>
      </c>
      <c r="J149" s="1072">
        <v>1199</v>
      </c>
      <c r="K149" s="1096">
        <v>60913</v>
      </c>
      <c r="L149" s="1097">
        <v>0</v>
      </c>
      <c r="M149" s="1097">
        <v>0</v>
      </c>
      <c r="N149" s="1097">
        <v>0</v>
      </c>
      <c r="O149" s="1097">
        <v>0</v>
      </c>
      <c r="P149" s="1097">
        <v>0</v>
      </c>
      <c r="Q149" s="1097">
        <v>0</v>
      </c>
      <c r="R149" s="1097">
        <v>0</v>
      </c>
      <c r="S149" s="1097">
        <v>0</v>
      </c>
      <c r="T149" s="1097">
        <v>0</v>
      </c>
      <c r="U149" s="1097">
        <v>204</v>
      </c>
      <c r="V149" s="1097">
        <v>329238</v>
      </c>
      <c r="W149" s="1097">
        <v>0</v>
      </c>
      <c r="X149" s="1097">
        <v>0</v>
      </c>
      <c r="Y149" s="1097">
        <v>0</v>
      </c>
      <c r="Z149" s="1097">
        <v>36685</v>
      </c>
      <c r="AA149" s="1096">
        <v>187250</v>
      </c>
      <c r="AB149" s="1096">
        <v>0</v>
      </c>
      <c r="AC149" s="1096">
        <v>0</v>
      </c>
      <c r="AD149" s="1096">
        <v>10</v>
      </c>
      <c r="AE149" s="1096">
        <v>0</v>
      </c>
      <c r="AF149" s="1096">
        <v>7808333</v>
      </c>
      <c r="AG149" s="1096">
        <v>0</v>
      </c>
      <c r="AH149" s="1096">
        <v>0</v>
      </c>
      <c r="AI149" s="1096">
        <v>0</v>
      </c>
      <c r="AJ149" s="1096">
        <v>2021223</v>
      </c>
      <c r="AK149" s="1096">
        <v>53112</v>
      </c>
      <c r="AL149" s="1096">
        <v>28513232</v>
      </c>
      <c r="AM149" s="1096">
        <v>3630</v>
      </c>
      <c r="AN149" s="1096">
        <v>0</v>
      </c>
      <c r="AO149" s="1096">
        <v>24293</v>
      </c>
      <c r="AP149" s="1096">
        <v>111</v>
      </c>
      <c r="AQ149" s="1096">
        <v>442</v>
      </c>
      <c r="AR149" s="1096">
        <v>608592</v>
      </c>
      <c r="AS149" s="1096">
        <v>0</v>
      </c>
      <c r="AT149" s="1096">
        <v>0</v>
      </c>
      <c r="AU149" s="1096">
        <v>100000</v>
      </c>
    </row>
    <row r="150" spans="1:47" s="1077" customFormat="1" ht="30" x14ac:dyDescent="0.25">
      <c r="A150" s="99">
        <v>500</v>
      </c>
      <c r="B150" s="1088">
        <v>500</v>
      </c>
      <c r="C150" s="1084">
        <v>500</v>
      </c>
      <c r="D150" s="1085" t="s">
        <v>183</v>
      </c>
      <c r="E150" s="1091">
        <v>0</v>
      </c>
      <c r="F150" s="1071">
        <v>0</v>
      </c>
      <c r="G150" s="1071">
        <v>0</v>
      </c>
      <c r="H150" s="1071">
        <v>0</v>
      </c>
      <c r="I150" s="1071">
        <v>0</v>
      </c>
      <c r="J150" s="1072">
        <v>4200</v>
      </c>
      <c r="K150" s="1096">
        <v>0</v>
      </c>
      <c r="L150" s="1097">
        <v>0</v>
      </c>
      <c r="M150" s="1097">
        <v>0</v>
      </c>
      <c r="N150" s="1097">
        <v>0</v>
      </c>
      <c r="O150" s="1097">
        <v>0</v>
      </c>
      <c r="P150" s="1097">
        <v>0</v>
      </c>
      <c r="Q150" s="1097">
        <v>0</v>
      </c>
      <c r="R150" s="1097">
        <v>0</v>
      </c>
      <c r="S150" s="1097">
        <v>0</v>
      </c>
      <c r="T150" s="1097">
        <v>0</v>
      </c>
      <c r="U150" s="1097">
        <v>0</v>
      </c>
      <c r="V150" s="1097">
        <v>0</v>
      </c>
      <c r="W150" s="1097">
        <v>0</v>
      </c>
      <c r="X150" s="1097">
        <v>0</v>
      </c>
      <c r="Y150" s="1097">
        <v>0</v>
      </c>
      <c r="Z150" s="1097">
        <v>0</v>
      </c>
      <c r="AA150" s="1096">
        <v>0</v>
      </c>
      <c r="AB150" s="1096">
        <v>0</v>
      </c>
      <c r="AC150" s="1096">
        <v>0</v>
      </c>
      <c r="AD150" s="1096">
        <v>0</v>
      </c>
      <c r="AE150" s="1096">
        <v>0</v>
      </c>
      <c r="AF150" s="1096">
        <v>0</v>
      </c>
      <c r="AG150" s="1096">
        <v>0</v>
      </c>
      <c r="AH150" s="1096">
        <v>0</v>
      </c>
      <c r="AI150" s="1096">
        <v>0</v>
      </c>
      <c r="AJ150" s="1096">
        <v>992041</v>
      </c>
      <c r="AK150" s="1096">
        <v>1707238</v>
      </c>
      <c r="AL150" s="1096">
        <v>0</v>
      </c>
      <c r="AM150" s="1096">
        <v>0</v>
      </c>
      <c r="AN150" s="1096">
        <v>18361</v>
      </c>
      <c r="AO150" s="1096">
        <v>100000</v>
      </c>
      <c r="AP150" s="1096">
        <v>0</v>
      </c>
      <c r="AQ150" s="1096">
        <v>0</v>
      </c>
      <c r="AR150" s="1096">
        <v>0</v>
      </c>
      <c r="AS150" s="1096">
        <v>0</v>
      </c>
      <c r="AT150" s="1096">
        <v>0</v>
      </c>
      <c r="AU150" s="1096">
        <v>15600</v>
      </c>
    </row>
    <row r="151" spans="1:47" s="1077" customFormat="1" x14ac:dyDescent="0.25">
      <c r="A151" s="99">
        <v>501</v>
      </c>
      <c r="B151" s="99"/>
      <c r="C151" s="1084">
        <v>501</v>
      </c>
      <c r="D151" s="1085" t="s">
        <v>185</v>
      </c>
      <c r="E151" s="1091">
        <v>0</v>
      </c>
      <c r="F151" s="1071">
        <v>0</v>
      </c>
      <c r="G151" s="1071">
        <v>0</v>
      </c>
      <c r="H151" s="1071">
        <v>0</v>
      </c>
      <c r="I151" s="1071">
        <v>0</v>
      </c>
      <c r="J151" s="1072">
        <v>0</v>
      </c>
      <c r="K151" s="1096">
        <v>0</v>
      </c>
      <c r="L151" s="1097">
        <v>0</v>
      </c>
      <c r="M151" s="1097">
        <v>0</v>
      </c>
      <c r="N151" s="1097">
        <v>0</v>
      </c>
      <c r="O151" s="1097">
        <v>0</v>
      </c>
      <c r="P151" s="1097">
        <v>0</v>
      </c>
      <c r="Q151" s="1097">
        <v>0</v>
      </c>
      <c r="R151" s="1097">
        <v>0</v>
      </c>
      <c r="S151" s="1097">
        <v>0</v>
      </c>
      <c r="T151" s="1097">
        <v>0</v>
      </c>
      <c r="U151" s="1097">
        <v>0</v>
      </c>
      <c r="V151" s="1097">
        <v>0</v>
      </c>
      <c r="W151" s="1097">
        <v>0</v>
      </c>
      <c r="X151" s="1097">
        <v>0</v>
      </c>
      <c r="Y151" s="1097">
        <v>0</v>
      </c>
      <c r="Z151" s="1097">
        <v>0</v>
      </c>
      <c r="AA151" s="1096">
        <v>0</v>
      </c>
      <c r="AB151" s="1096">
        <v>0</v>
      </c>
      <c r="AC151" s="1096">
        <v>0</v>
      </c>
      <c r="AD151" s="1096">
        <v>0</v>
      </c>
      <c r="AE151" s="1096">
        <v>0</v>
      </c>
      <c r="AF151" s="1096">
        <v>0</v>
      </c>
      <c r="AG151" s="1096">
        <v>0</v>
      </c>
      <c r="AH151" s="1096">
        <v>0</v>
      </c>
      <c r="AI151" s="1096">
        <v>0</v>
      </c>
      <c r="AJ151" s="1096">
        <v>0</v>
      </c>
      <c r="AK151" s="1096">
        <v>0</v>
      </c>
      <c r="AL151" s="1096">
        <v>0</v>
      </c>
      <c r="AM151" s="1096">
        <v>0</v>
      </c>
      <c r="AN151" s="1096">
        <v>0</v>
      </c>
      <c r="AO151" s="1096">
        <v>0</v>
      </c>
      <c r="AP151" s="1096">
        <v>0</v>
      </c>
      <c r="AQ151" s="1096">
        <v>0</v>
      </c>
      <c r="AR151" s="1096">
        <v>0</v>
      </c>
      <c r="AS151" s="1096">
        <v>0</v>
      </c>
      <c r="AT151" s="1096">
        <v>0</v>
      </c>
      <c r="AU151" s="1096">
        <v>0</v>
      </c>
    </row>
    <row r="152" spans="1:47" s="1077" customFormat="1" ht="30" x14ac:dyDescent="0.25">
      <c r="A152" s="99">
        <v>502</v>
      </c>
      <c r="B152" s="1088">
        <v>502</v>
      </c>
      <c r="C152" s="1084">
        <v>502</v>
      </c>
      <c r="D152" s="1085" t="s">
        <v>186</v>
      </c>
      <c r="E152" s="1091">
        <v>180995</v>
      </c>
      <c r="F152" s="1071">
        <v>0</v>
      </c>
      <c r="G152" s="1071">
        <v>0</v>
      </c>
      <c r="H152" s="1071">
        <v>3400999</v>
      </c>
      <c r="I152" s="1071">
        <v>60298</v>
      </c>
      <c r="J152" s="1072">
        <v>0</v>
      </c>
      <c r="K152" s="1096">
        <v>0</v>
      </c>
      <c r="L152" s="1097">
        <v>0</v>
      </c>
      <c r="M152" s="1097">
        <v>242607</v>
      </c>
      <c r="N152" s="1097">
        <v>5240110</v>
      </c>
      <c r="O152" s="1097">
        <v>1131549</v>
      </c>
      <c r="P152" s="1097">
        <v>100773</v>
      </c>
      <c r="Q152" s="1097">
        <v>12956632</v>
      </c>
      <c r="R152" s="1097">
        <v>0</v>
      </c>
      <c r="S152" s="1097">
        <v>0</v>
      </c>
      <c r="T152" s="1097">
        <v>0</v>
      </c>
      <c r="U152" s="1097">
        <v>0</v>
      </c>
      <c r="V152" s="1097">
        <v>0</v>
      </c>
      <c r="W152" s="1097">
        <v>2947318</v>
      </c>
      <c r="X152" s="1097">
        <v>0</v>
      </c>
      <c r="Y152" s="1097">
        <v>962619</v>
      </c>
      <c r="Z152" s="1097">
        <v>0</v>
      </c>
      <c r="AA152" s="1096">
        <v>0</v>
      </c>
      <c r="AB152" s="1096">
        <v>0</v>
      </c>
      <c r="AC152" s="1096">
        <v>0</v>
      </c>
      <c r="AD152" s="1096">
        <v>0</v>
      </c>
      <c r="AE152" s="1096">
        <v>0</v>
      </c>
      <c r="AF152" s="1096">
        <v>0</v>
      </c>
      <c r="AG152" s="1096">
        <v>1787035</v>
      </c>
      <c r="AH152" s="1096">
        <v>0</v>
      </c>
      <c r="AI152" s="1096">
        <v>0</v>
      </c>
      <c r="AJ152" s="1096">
        <v>649975</v>
      </c>
      <c r="AK152" s="1096">
        <v>0</v>
      </c>
      <c r="AL152" s="1096">
        <v>1622971</v>
      </c>
      <c r="AM152" s="1096">
        <v>0</v>
      </c>
      <c r="AN152" s="1096">
        <v>0</v>
      </c>
      <c r="AO152" s="1096">
        <v>0</v>
      </c>
      <c r="AP152" s="1096">
        <v>0</v>
      </c>
      <c r="AQ152" s="1096">
        <v>0</v>
      </c>
      <c r="AR152" s="1096">
        <v>0</v>
      </c>
      <c r="AS152" s="1096">
        <v>2302385</v>
      </c>
      <c r="AT152" s="1096">
        <v>90959</v>
      </c>
      <c r="AU152" s="1096">
        <v>0</v>
      </c>
    </row>
    <row r="153" spans="1:47" s="1077" customFormat="1" x14ac:dyDescent="0.25">
      <c r="A153" s="99">
        <v>503</v>
      </c>
      <c r="B153" s="1088">
        <v>503</v>
      </c>
      <c r="C153" s="1084">
        <v>503</v>
      </c>
      <c r="D153" s="1085" t="s">
        <v>187</v>
      </c>
      <c r="E153" s="1091">
        <v>0</v>
      </c>
      <c r="F153" s="1071">
        <v>0</v>
      </c>
      <c r="G153" s="1071">
        <v>0</v>
      </c>
      <c r="H153" s="1071">
        <v>0</v>
      </c>
      <c r="I153" s="1071">
        <v>0</v>
      </c>
      <c r="J153" s="1072">
        <v>0</v>
      </c>
      <c r="K153" s="1096">
        <v>0</v>
      </c>
      <c r="L153" s="1097">
        <v>0</v>
      </c>
      <c r="M153" s="1097">
        <v>0</v>
      </c>
      <c r="N153" s="1097">
        <v>18647220</v>
      </c>
      <c r="O153" s="1097">
        <v>0</v>
      </c>
      <c r="P153" s="1097">
        <v>0</v>
      </c>
      <c r="Q153" s="1097">
        <v>0</v>
      </c>
      <c r="R153" s="1097">
        <v>0</v>
      </c>
      <c r="S153" s="1097">
        <v>0</v>
      </c>
      <c r="T153" s="1097">
        <v>0</v>
      </c>
      <c r="U153" s="1097">
        <v>0</v>
      </c>
      <c r="V153" s="1097">
        <v>0</v>
      </c>
      <c r="W153" s="1097">
        <v>0</v>
      </c>
      <c r="X153" s="1097">
        <v>0</v>
      </c>
      <c r="Y153" s="1097">
        <v>0</v>
      </c>
      <c r="Z153" s="1097">
        <v>0</v>
      </c>
      <c r="AA153" s="1096">
        <v>0</v>
      </c>
      <c r="AB153" s="1096">
        <v>0</v>
      </c>
      <c r="AC153" s="1096">
        <v>0</v>
      </c>
      <c r="AD153" s="1096">
        <v>0</v>
      </c>
      <c r="AE153" s="1096">
        <v>0</v>
      </c>
      <c r="AF153" s="1096">
        <v>0</v>
      </c>
      <c r="AG153" s="1096">
        <v>0</v>
      </c>
      <c r="AH153" s="1096">
        <v>0</v>
      </c>
      <c r="AI153" s="1096">
        <v>0</v>
      </c>
      <c r="AJ153" s="1096">
        <v>9178</v>
      </c>
      <c r="AK153" s="1096">
        <v>0</v>
      </c>
      <c r="AL153" s="1096">
        <v>0</v>
      </c>
      <c r="AM153" s="1096">
        <v>0</v>
      </c>
      <c r="AN153" s="1096">
        <v>0</v>
      </c>
      <c r="AO153" s="1096">
        <v>0</v>
      </c>
      <c r="AP153" s="1096">
        <v>0</v>
      </c>
      <c r="AQ153" s="1096">
        <v>0</v>
      </c>
      <c r="AR153" s="1096">
        <v>0</v>
      </c>
      <c r="AS153" s="1096">
        <v>0</v>
      </c>
      <c r="AT153" s="1096">
        <v>0</v>
      </c>
      <c r="AU153" s="1096">
        <v>0</v>
      </c>
    </row>
    <row r="154" spans="1:47" s="1077" customFormat="1" ht="30" x14ac:dyDescent="0.25">
      <c r="A154" s="99">
        <v>504</v>
      </c>
      <c r="B154" s="1088">
        <v>504</v>
      </c>
      <c r="C154" s="1084">
        <v>504</v>
      </c>
      <c r="D154" s="1085" t="s">
        <v>191</v>
      </c>
      <c r="E154" s="1091">
        <v>0</v>
      </c>
      <c r="F154" s="1071">
        <v>0</v>
      </c>
      <c r="G154" s="1071">
        <v>0</v>
      </c>
      <c r="H154" s="1071">
        <v>0</v>
      </c>
      <c r="I154" s="1071">
        <v>0</v>
      </c>
      <c r="J154" s="1072">
        <v>2880</v>
      </c>
      <c r="K154" s="1096">
        <v>0</v>
      </c>
      <c r="L154" s="1097">
        <v>0</v>
      </c>
      <c r="M154" s="1097">
        <v>0</v>
      </c>
      <c r="N154" s="1097">
        <v>0</v>
      </c>
      <c r="O154" s="1097">
        <v>0</v>
      </c>
      <c r="P154" s="1097">
        <v>0</v>
      </c>
      <c r="Q154" s="1097">
        <v>0</v>
      </c>
      <c r="R154" s="1097">
        <v>0</v>
      </c>
      <c r="S154" s="1097">
        <v>0</v>
      </c>
      <c r="T154" s="1097">
        <v>0</v>
      </c>
      <c r="U154" s="1097">
        <v>0</v>
      </c>
      <c r="V154" s="1097">
        <v>0</v>
      </c>
      <c r="W154" s="1097">
        <v>0</v>
      </c>
      <c r="X154" s="1097">
        <v>216057</v>
      </c>
      <c r="Y154" s="1097">
        <v>0</v>
      </c>
      <c r="Z154" s="1097">
        <v>0</v>
      </c>
      <c r="AA154" s="1096">
        <v>0</v>
      </c>
      <c r="AB154" s="1096">
        <v>0</v>
      </c>
      <c r="AC154" s="1096">
        <v>0</v>
      </c>
      <c r="AD154" s="1096">
        <v>0</v>
      </c>
      <c r="AE154" s="1096">
        <v>0</v>
      </c>
      <c r="AF154" s="1096">
        <v>1762145</v>
      </c>
      <c r="AG154" s="1096">
        <v>0</v>
      </c>
      <c r="AH154" s="1096">
        <v>0</v>
      </c>
      <c r="AI154" s="1096">
        <v>0</v>
      </c>
      <c r="AJ154" s="1096">
        <v>5005170</v>
      </c>
      <c r="AK154" s="1096">
        <v>275000</v>
      </c>
      <c r="AL154" s="1096">
        <v>87397</v>
      </c>
      <c r="AM154" s="1096">
        <v>416</v>
      </c>
      <c r="AN154" s="1096">
        <v>27437</v>
      </c>
      <c r="AO154" s="1096">
        <v>0</v>
      </c>
      <c r="AP154" s="1096">
        <v>1422</v>
      </c>
      <c r="AQ154" s="1096">
        <v>2151</v>
      </c>
      <c r="AR154" s="1096">
        <v>18496</v>
      </c>
      <c r="AS154" s="1096">
        <v>0</v>
      </c>
      <c r="AT154" s="1096">
        <v>0</v>
      </c>
      <c r="AU154" s="1096">
        <v>177314</v>
      </c>
    </row>
    <row r="155" spans="1:47" s="1077" customFormat="1" ht="30" x14ac:dyDescent="0.25">
      <c r="A155" s="99">
        <v>505</v>
      </c>
      <c r="B155" s="1088">
        <v>505</v>
      </c>
      <c r="C155" s="1084">
        <v>505</v>
      </c>
      <c r="D155" s="1085" t="s">
        <v>192</v>
      </c>
      <c r="E155" s="1091">
        <v>0</v>
      </c>
      <c r="F155" s="1071">
        <v>0</v>
      </c>
      <c r="G155" s="1071">
        <v>0</v>
      </c>
      <c r="H155" s="1071">
        <v>0</v>
      </c>
      <c r="I155" s="1071">
        <v>0</v>
      </c>
      <c r="J155" s="1072">
        <v>0</v>
      </c>
      <c r="K155" s="1096">
        <v>0</v>
      </c>
      <c r="L155" s="1097">
        <v>0</v>
      </c>
      <c r="M155" s="1097">
        <v>0</v>
      </c>
      <c r="N155" s="1097">
        <v>0</v>
      </c>
      <c r="O155" s="1097">
        <v>0</v>
      </c>
      <c r="P155" s="1097">
        <v>0</v>
      </c>
      <c r="Q155" s="1097">
        <v>0</v>
      </c>
      <c r="R155" s="1097">
        <v>0</v>
      </c>
      <c r="S155" s="1097">
        <v>0</v>
      </c>
      <c r="T155" s="1097">
        <v>0</v>
      </c>
      <c r="U155" s="1097">
        <v>0</v>
      </c>
      <c r="V155" s="1097">
        <v>101524</v>
      </c>
      <c r="W155" s="1097">
        <v>0</v>
      </c>
      <c r="X155" s="1097">
        <v>0</v>
      </c>
      <c r="Y155" s="1097">
        <v>0</v>
      </c>
      <c r="Z155" s="1097">
        <v>0</v>
      </c>
      <c r="AA155" s="1096">
        <v>0</v>
      </c>
      <c r="AB155" s="1096">
        <v>0</v>
      </c>
      <c r="AC155" s="1096">
        <v>0</v>
      </c>
      <c r="AD155" s="1096">
        <v>0</v>
      </c>
      <c r="AE155" s="1096">
        <v>0</v>
      </c>
      <c r="AF155" s="1096">
        <v>0</v>
      </c>
      <c r="AG155" s="1096">
        <v>0</v>
      </c>
      <c r="AH155" s="1096">
        <v>0</v>
      </c>
      <c r="AI155" s="1096">
        <v>0</v>
      </c>
      <c r="AJ155" s="1096">
        <v>2044428</v>
      </c>
      <c r="AK155" s="1096">
        <v>0</v>
      </c>
      <c r="AL155" s="1096">
        <v>0</v>
      </c>
      <c r="AM155" s="1096">
        <v>0</v>
      </c>
      <c r="AN155" s="1096">
        <v>10000</v>
      </c>
      <c r="AO155" s="1096">
        <v>0</v>
      </c>
      <c r="AP155" s="1096">
        <v>0</v>
      </c>
      <c r="AQ155" s="1096">
        <v>0</v>
      </c>
      <c r="AR155" s="1096">
        <v>0</v>
      </c>
      <c r="AS155" s="1096">
        <v>0</v>
      </c>
      <c r="AT155" s="1096">
        <v>0</v>
      </c>
      <c r="AU155" s="1096">
        <v>0</v>
      </c>
    </row>
    <row r="156" spans="1:47" s="1077" customFormat="1" ht="30" x14ac:dyDescent="0.25">
      <c r="A156" s="99">
        <v>506</v>
      </c>
      <c r="B156" s="1088">
        <v>506</v>
      </c>
      <c r="C156" s="1084">
        <v>506</v>
      </c>
      <c r="D156" s="1085" t="s">
        <v>198</v>
      </c>
      <c r="E156" s="1091">
        <v>0</v>
      </c>
      <c r="F156" s="1071">
        <v>0</v>
      </c>
      <c r="G156" s="1071">
        <v>1501230</v>
      </c>
      <c r="H156" s="1071">
        <v>0</v>
      </c>
      <c r="I156" s="1071">
        <v>0</v>
      </c>
      <c r="J156" s="1072">
        <v>209081</v>
      </c>
      <c r="K156" s="1096">
        <v>1303528</v>
      </c>
      <c r="L156" s="1097">
        <v>0</v>
      </c>
      <c r="M156" s="1097">
        <v>0</v>
      </c>
      <c r="N156" s="1097">
        <v>0</v>
      </c>
      <c r="O156" s="1097">
        <v>0</v>
      </c>
      <c r="P156" s="1097">
        <v>0</v>
      </c>
      <c r="Q156" s="1097">
        <v>0</v>
      </c>
      <c r="R156" s="1097">
        <v>0</v>
      </c>
      <c r="S156" s="1097">
        <v>324494</v>
      </c>
      <c r="T156" s="1097">
        <v>0</v>
      </c>
      <c r="U156" s="1097">
        <v>137757</v>
      </c>
      <c r="V156" s="1097">
        <v>6167983</v>
      </c>
      <c r="W156" s="1097">
        <v>0</v>
      </c>
      <c r="X156" s="1097">
        <v>82524</v>
      </c>
      <c r="Y156" s="1097">
        <v>0</v>
      </c>
      <c r="Z156" s="1097">
        <v>152353</v>
      </c>
      <c r="AA156" s="1096">
        <v>388542</v>
      </c>
      <c r="AB156" s="1096">
        <v>0</v>
      </c>
      <c r="AC156" s="1096">
        <v>52984</v>
      </c>
      <c r="AD156" s="1096">
        <v>167153</v>
      </c>
      <c r="AE156" s="1096">
        <v>122190</v>
      </c>
      <c r="AF156" s="1096">
        <v>9712786</v>
      </c>
      <c r="AG156" s="1096">
        <v>0</v>
      </c>
      <c r="AH156" s="1096">
        <v>113838</v>
      </c>
      <c r="AI156" s="1096">
        <v>0</v>
      </c>
      <c r="AJ156" s="1096">
        <v>8432350</v>
      </c>
      <c r="AK156" s="1096">
        <v>2698536</v>
      </c>
      <c r="AL156" s="1096">
        <v>15829928</v>
      </c>
      <c r="AM156" s="1096">
        <v>1049746</v>
      </c>
      <c r="AN156" s="1096">
        <v>40033</v>
      </c>
      <c r="AO156" s="1096">
        <v>139669</v>
      </c>
      <c r="AP156" s="1096">
        <v>31759</v>
      </c>
      <c r="AQ156" s="1096">
        <v>69287</v>
      </c>
      <c r="AR156" s="1096">
        <v>699021</v>
      </c>
      <c r="AS156" s="1096">
        <v>0</v>
      </c>
      <c r="AT156" s="1096">
        <v>0</v>
      </c>
      <c r="AU156" s="1096">
        <v>60613</v>
      </c>
    </row>
    <row r="157" spans="1:47" s="1077" customFormat="1" ht="30" x14ac:dyDescent="0.25">
      <c r="A157" s="99">
        <v>507</v>
      </c>
      <c r="B157" s="1088">
        <v>507</v>
      </c>
      <c r="C157" s="1084">
        <v>507</v>
      </c>
      <c r="D157" s="1085" t="s">
        <v>216</v>
      </c>
      <c r="E157" s="1091">
        <v>0</v>
      </c>
      <c r="F157" s="1071">
        <v>0</v>
      </c>
      <c r="G157" s="1071">
        <v>0</v>
      </c>
      <c r="H157" s="1071">
        <v>0</v>
      </c>
      <c r="I157" s="1071">
        <v>0</v>
      </c>
      <c r="J157" s="1072">
        <v>0</v>
      </c>
      <c r="K157" s="1096">
        <v>0</v>
      </c>
      <c r="L157" s="1097">
        <v>0</v>
      </c>
      <c r="M157" s="1097">
        <v>0</v>
      </c>
      <c r="N157" s="1097">
        <v>0</v>
      </c>
      <c r="O157" s="1097">
        <v>0</v>
      </c>
      <c r="P157" s="1097">
        <v>0</v>
      </c>
      <c r="Q157" s="1097">
        <v>0</v>
      </c>
      <c r="R157" s="1097">
        <v>0</v>
      </c>
      <c r="S157" s="1097">
        <v>-1</v>
      </c>
      <c r="T157" s="1097">
        <v>0</v>
      </c>
      <c r="U157" s="1097">
        <v>0</v>
      </c>
      <c r="V157" s="1097">
        <v>0</v>
      </c>
      <c r="W157" s="1097">
        <v>0</v>
      </c>
      <c r="X157" s="1097">
        <v>0</v>
      </c>
      <c r="Y157" s="1097">
        <v>0</v>
      </c>
      <c r="Z157" s="1097">
        <v>0</v>
      </c>
      <c r="AA157" s="1096">
        <v>0</v>
      </c>
      <c r="AB157" s="1096">
        <v>0</v>
      </c>
      <c r="AC157" s="1096">
        <v>0</v>
      </c>
      <c r="AD157" s="1096">
        <v>0</v>
      </c>
      <c r="AE157" s="1096">
        <v>0</v>
      </c>
      <c r="AF157" s="1096">
        <v>0</v>
      </c>
      <c r="AG157" s="1096">
        <v>0</v>
      </c>
      <c r="AH157" s="1096">
        <v>0</v>
      </c>
      <c r="AI157" s="1096">
        <v>0</v>
      </c>
      <c r="AJ157" s="1096">
        <v>0</v>
      </c>
      <c r="AK157" s="1096">
        <v>0</v>
      </c>
      <c r="AL157" s="1096">
        <v>2</v>
      </c>
      <c r="AM157" s="1096">
        <v>0</v>
      </c>
      <c r="AN157" s="1096">
        <v>0</v>
      </c>
      <c r="AO157" s="1096">
        <v>0</v>
      </c>
      <c r="AP157" s="1096">
        <v>0</v>
      </c>
      <c r="AQ157" s="1096">
        <v>0</v>
      </c>
      <c r="AR157" s="1096">
        <v>0</v>
      </c>
      <c r="AS157" s="1096">
        <v>0</v>
      </c>
      <c r="AT157" s="1096">
        <v>0</v>
      </c>
      <c r="AU157" s="1096">
        <v>0</v>
      </c>
    </row>
    <row r="158" spans="1:47" s="1077" customFormat="1" x14ac:dyDescent="0.25">
      <c r="A158" s="99">
        <v>508</v>
      </c>
      <c r="B158" s="1088">
        <v>508</v>
      </c>
      <c r="C158" s="1084">
        <v>508</v>
      </c>
      <c r="D158" s="1085" t="s">
        <v>213</v>
      </c>
      <c r="E158" s="1091">
        <v>0</v>
      </c>
      <c r="F158" s="1071">
        <v>0</v>
      </c>
      <c r="G158" s="1071">
        <v>0</v>
      </c>
      <c r="H158" s="1071">
        <v>0</v>
      </c>
      <c r="I158" s="1071">
        <v>0</v>
      </c>
      <c r="J158" s="1072">
        <v>0</v>
      </c>
      <c r="K158" s="1096">
        <v>0</v>
      </c>
      <c r="L158" s="1097">
        <v>0</v>
      </c>
      <c r="M158" s="1097">
        <v>0</v>
      </c>
      <c r="N158" s="1097">
        <v>0</v>
      </c>
      <c r="O158" s="1097">
        <v>0</v>
      </c>
      <c r="P158" s="1097">
        <v>0</v>
      </c>
      <c r="Q158" s="1097">
        <v>0</v>
      </c>
      <c r="R158" s="1097">
        <v>0</v>
      </c>
      <c r="S158" s="1097">
        <v>0</v>
      </c>
      <c r="T158" s="1097">
        <v>0</v>
      </c>
      <c r="U158" s="1097">
        <v>0</v>
      </c>
      <c r="V158" s="1097">
        <v>0</v>
      </c>
      <c r="W158" s="1097">
        <v>0</v>
      </c>
      <c r="X158" s="1097">
        <v>0</v>
      </c>
      <c r="Y158" s="1097">
        <v>0</v>
      </c>
      <c r="Z158" s="1097">
        <v>0</v>
      </c>
      <c r="AA158" s="1096">
        <v>0</v>
      </c>
      <c r="AB158" s="1096">
        <v>0</v>
      </c>
      <c r="AC158" s="1096">
        <v>0</v>
      </c>
      <c r="AD158" s="1096">
        <v>0</v>
      </c>
      <c r="AE158" s="1096">
        <v>0</v>
      </c>
      <c r="AF158" s="1096">
        <v>0</v>
      </c>
      <c r="AG158" s="1096">
        <v>0</v>
      </c>
      <c r="AH158" s="1096">
        <v>0</v>
      </c>
      <c r="AI158" s="1096">
        <v>0</v>
      </c>
      <c r="AJ158" s="1096">
        <v>0</v>
      </c>
      <c r="AK158" s="1096">
        <v>0</v>
      </c>
      <c r="AL158" s="1096">
        <v>0</v>
      </c>
      <c r="AM158" s="1096">
        <v>0</v>
      </c>
      <c r="AN158" s="1096">
        <v>0</v>
      </c>
      <c r="AO158" s="1096">
        <v>0</v>
      </c>
      <c r="AP158" s="1096">
        <v>0</v>
      </c>
      <c r="AQ158" s="1096">
        <v>0</v>
      </c>
      <c r="AR158" s="1096">
        <v>0</v>
      </c>
      <c r="AS158" s="1096">
        <v>0</v>
      </c>
      <c r="AT158" s="1096">
        <v>0</v>
      </c>
      <c r="AU158" s="1096">
        <v>0</v>
      </c>
    </row>
    <row r="159" spans="1:47" s="1077" customFormat="1" x14ac:dyDescent="0.25">
      <c r="A159" s="99">
        <v>509</v>
      </c>
      <c r="B159" s="1088">
        <v>509</v>
      </c>
      <c r="C159" s="1084">
        <v>509</v>
      </c>
      <c r="D159" s="1085" t="s">
        <v>214</v>
      </c>
      <c r="E159" s="1091">
        <v>0</v>
      </c>
      <c r="F159" s="1071">
        <v>0</v>
      </c>
      <c r="G159" s="1071">
        <v>0</v>
      </c>
      <c r="H159" s="1071">
        <v>0</v>
      </c>
      <c r="I159" s="1071">
        <v>0</v>
      </c>
      <c r="J159" s="1072">
        <v>0</v>
      </c>
      <c r="K159" s="1096">
        <v>0</v>
      </c>
      <c r="L159" s="1097">
        <v>0</v>
      </c>
      <c r="M159" s="1097">
        <v>0</v>
      </c>
      <c r="N159" s="1097">
        <v>0</v>
      </c>
      <c r="O159" s="1097">
        <v>0</v>
      </c>
      <c r="P159" s="1097">
        <v>0</v>
      </c>
      <c r="Q159" s="1097">
        <v>0</v>
      </c>
      <c r="R159" s="1097">
        <v>0</v>
      </c>
      <c r="S159" s="1097">
        <v>0</v>
      </c>
      <c r="T159" s="1097">
        <v>0</v>
      </c>
      <c r="U159" s="1097">
        <v>0</v>
      </c>
      <c r="V159" s="1097">
        <v>0</v>
      </c>
      <c r="W159" s="1097">
        <v>0</v>
      </c>
      <c r="X159" s="1097">
        <v>0</v>
      </c>
      <c r="Y159" s="1097">
        <v>0</v>
      </c>
      <c r="Z159" s="1097">
        <v>0</v>
      </c>
      <c r="AA159" s="1096">
        <v>0</v>
      </c>
      <c r="AB159" s="1096">
        <v>0</v>
      </c>
      <c r="AC159" s="1096">
        <v>0</v>
      </c>
      <c r="AD159" s="1096">
        <v>0</v>
      </c>
      <c r="AE159" s="1096">
        <v>0</v>
      </c>
      <c r="AF159" s="1096">
        <v>0</v>
      </c>
      <c r="AG159" s="1096">
        <v>0</v>
      </c>
      <c r="AH159" s="1096">
        <v>0</v>
      </c>
      <c r="AI159" s="1096">
        <v>0</v>
      </c>
      <c r="AJ159" s="1096">
        <v>0</v>
      </c>
      <c r="AK159" s="1096">
        <v>0</v>
      </c>
      <c r="AL159" s="1096">
        <v>0</v>
      </c>
      <c r="AM159" s="1096">
        <v>0</v>
      </c>
      <c r="AN159" s="1096">
        <v>0</v>
      </c>
      <c r="AO159" s="1096">
        <v>0</v>
      </c>
      <c r="AP159" s="1096">
        <v>0</v>
      </c>
      <c r="AQ159" s="1096">
        <v>0</v>
      </c>
      <c r="AR159" s="1096">
        <v>0</v>
      </c>
      <c r="AS159" s="1096">
        <v>0</v>
      </c>
      <c r="AT159" s="1096">
        <v>0</v>
      </c>
      <c r="AU159" s="1096">
        <v>0</v>
      </c>
    </row>
    <row r="160" spans="1:47" s="1077" customFormat="1" ht="30" x14ac:dyDescent="0.25">
      <c r="A160" s="99">
        <v>510</v>
      </c>
      <c r="B160" s="99"/>
      <c r="C160" s="1084">
        <v>510</v>
      </c>
      <c r="D160" s="1085" t="s">
        <v>220</v>
      </c>
      <c r="E160" s="1091">
        <v>0</v>
      </c>
      <c r="F160" s="1071">
        <v>0</v>
      </c>
      <c r="G160" s="1071">
        <v>0</v>
      </c>
      <c r="H160" s="1071">
        <v>0</v>
      </c>
      <c r="I160" s="1071">
        <v>0</v>
      </c>
      <c r="J160" s="1072">
        <v>0</v>
      </c>
      <c r="K160" s="1096">
        <v>0</v>
      </c>
      <c r="L160" s="1097">
        <v>0</v>
      </c>
      <c r="M160" s="1097">
        <v>0</v>
      </c>
      <c r="N160" s="1097">
        <v>0</v>
      </c>
      <c r="O160" s="1097">
        <v>0</v>
      </c>
      <c r="P160" s="1097">
        <v>0</v>
      </c>
      <c r="Q160" s="1097">
        <v>0</v>
      </c>
      <c r="R160" s="1097">
        <v>0</v>
      </c>
      <c r="S160" s="1097">
        <v>0</v>
      </c>
      <c r="T160" s="1097">
        <v>0</v>
      </c>
      <c r="U160" s="1097">
        <v>0</v>
      </c>
      <c r="V160" s="1097">
        <v>0</v>
      </c>
      <c r="W160" s="1097">
        <v>0</v>
      </c>
      <c r="X160" s="1097">
        <v>0</v>
      </c>
      <c r="Y160" s="1097">
        <v>0</v>
      </c>
      <c r="Z160" s="1097">
        <v>0</v>
      </c>
      <c r="AA160" s="1096">
        <v>0</v>
      </c>
      <c r="AB160" s="1096">
        <v>0</v>
      </c>
      <c r="AC160" s="1096">
        <v>0</v>
      </c>
      <c r="AD160" s="1096">
        <v>0</v>
      </c>
      <c r="AE160" s="1096">
        <v>0</v>
      </c>
      <c r="AF160" s="1096">
        <v>0</v>
      </c>
      <c r="AG160" s="1096">
        <v>0</v>
      </c>
      <c r="AH160" s="1096">
        <v>0</v>
      </c>
      <c r="AI160" s="1096">
        <v>0</v>
      </c>
      <c r="AJ160" s="1096">
        <v>0</v>
      </c>
      <c r="AK160" s="1096">
        <v>0</v>
      </c>
      <c r="AL160" s="1096">
        <v>0</v>
      </c>
      <c r="AM160" s="1096">
        <v>0</v>
      </c>
      <c r="AN160" s="1096">
        <v>0</v>
      </c>
      <c r="AO160" s="1096">
        <v>0</v>
      </c>
      <c r="AP160" s="1096">
        <v>0</v>
      </c>
      <c r="AQ160" s="1096">
        <v>0</v>
      </c>
      <c r="AR160" s="1096">
        <v>0</v>
      </c>
      <c r="AS160" s="1096">
        <v>0</v>
      </c>
      <c r="AT160" s="1096">
        <v>0</v>
      </c>
      <c r="AU160" s="1096">
        <v>0</v>
      </c>
    </row>
    <row r="161" spans="1:47" s="1077" customFormat="1" ht="30" x14ac:dyDescent="0.25">
      <c r="A161" s="99">
        <v>511</v>
      </c>
      <c r="B161" s="99"/>
      <c r="C161" s="1084">
        <v>511</v>
      </c>
      <c r="D161" s="1085" t="s">
        <v>225</v>
      </c>
      <c r="E161" s="1091">
        <v>0</v>
      </c>
      <c r="F161" s="1071">
        <v>0</v>
      </c>
      <c r="G161" s="1071">
        <v>0</v>
      </c>
      <c r="H161" s="1071">
        <v>0</v>
      </c>
      <c r="I161" s="1071">
        <v>0</v>
      </c>
      <c r="J161" s="1072">
        <v>0</v>
      </c>
      <c r="K161" s="1096">
        <v>0</v>
      </c>
      <c r="L161" s="1097">
        <v>0</v>
      </c>
      <c r="M161" s="1097">
        <v>0</v>
      </c>
      <c r="N161" s="1097">
        <v>0</v>
      </c>
      <c r="O161" s="1097">
        <v>0</v>
      </c>
      <c r="P161" s="1097">
        <v>0</v>
      </c>
      <c r="Q161" s="1097">
        <v>0</v>
      </c>
      <c r="R161" s="1097">
        <v>0</v>
      </c>
      <c r="S161" s="1097">
        <v>0</v>
      </c>
      <c r="T161" s="1097">
        <v>0</v>
      </c>
      <c r="U161" s="1097">
        <v>0</v>
      </c>
      <c r="V161" s="1097">
        <v>0</v>
      </c>
      <c r="W161" s="1097">
        <v>0</v>
      </c>
      <c r="X161" s="1097">
        <v>0</v>
      </c>
      <c r="Y161" s="1097">
        <v>0</v>
      </c>
      <c r="Z161" s="1097">
        <v>0</v>
      </c>
      <c r="AA161" s="1096">
        <v>0</v>
      </c>
      <c r="AB161" s="1096">
        <v>0</v>
      </c>
      <c r="AC161" s="1096">
        <v>0</v>
      </c>
      <c r="AD161" s="1096">
        <v>0</v>
      </c>
      <c r="AE161" s="1096">
        <v>0</v>
      </c>
      <c r="AF161" s="1096">
        <v>0</v>
      </c>
      <c r="AG161" s="1096">
        <v>0</v>
      </c>
      <c r="AH161" s="1096">
        <v>0</v>
      </c>
      <c r="AI161" s="1096">
        <v>0</v>
      </c>
      <c r="AJ161" s="1096">
        <v>0</v>
      </c>
      <c r="AK161" s="1096">
        <v>0</v>
      </c>
      <c r="AL161" s="1096">
        <v>0</v>
      </c>
      <c r="AM161" s="1096">
        <v>0</v>
      </c>
      <c r="AN161" s="1096">
        <v>0</v>
      </c>
      <c r="AO161" s="1096">
        <v>0</v>
      </c>
      <c r="AP161" s="1096">
        <v>0</v>
      </c>
      <c r="AQ161" s="1096">
        <v>0</v>
      </c>
      <c r="AR161" s="1096">
        <v>0</v>
      </c>
      <c r="AS161" s="1096">
        <v>0</v>
      </c>
      <c r="AT161" s="1096">
        <v>0</v>
      </c>
      <c r="AU161" s="1096">
        <v>0</v>
      </c>
    </row>
    <row r="162" spans="1:47" s="1077" customFormat="1" x14ac:dyDescent="0.25">
      <c r="A162" s="99">
        <v>512</v>
      </c>
      <c r="B162" s="1088">
        <v>512</v>
      </c>
      <c r="C162" s="1084">
        <v>512</v>
      </c>
      <c r="D162" s="1085" t="s">
        <v>252</v>
      </c>
      <c r="E162" s="1091">
        <v>0</v>
      </c>
      <c r="F162" s="1071">
        <v>0</v>
      </c>
      <c r="G162" s="1071">
        <v>0</v>
      </c>
      <c r="H162" s="1071">
        <v>0</v>
      </c>
      <c r="I162" s="1071">
        <v>0</v>
      </c>
      <c r="J162" s="1072">
        <v>0</v>
      </c>
      <c r="K162" s="1096">
        <v>0</v>
      </c>
      <c r="L162" s="1097">
        <v>0</v>
      </c>
      <c r="M162" s="1097">
        <v>0</v>
      </c>
      <c r="N162" s="1097">
        <v>0</v>
      </c>
      <c r="O162" s="1097">
        <v>0</v>
      </c>
      <c r="P162" s="1097">
        <v>0</v>
      </c>
      <c r="Q162" s="1097">
        <v>0</v>
      </c>
      <c r="R162" s="1097">
        <v>0</v>
      </c>
      <c r="S162" s="1097">
        <v>0</v>
      </c>
      <c r="T162" s="1097">
        <v>0</v>
      </c>
      <c r="U162" s="1097">
        <v>0</v>
      </c>
      <c r="V162" s="1097">
        <v>0</v>
      </c>
      <c r="W162" s="1097">
        <v>4416992</v>
      </c>
      <c r="X162" s="1097">
        <v>0</v>
      </c>
      <c r="Y162" s="1097">
        <v>0</v>
      </c>
      <c r="Z162" s="1097">
        <v>0</v>
      </c>
      <c r="AA162" s="1096">
        <v>0</v>
      </c>
      <c r="AB162" s="1096">
        <v>0</v>
      </c>
      <c r="AC162" s="1096">
        <v>0</v>
      </c>
      <c r="AD162" s="1096">
        <v>0</v>
      </c>
      <c r="AE162" s="1096">
        <v>0</v>
      </c>
      <c r="AF162" s="1096">
        <v>0</v>
      </c>
      <c r="AG162" s="1096">
        <v>0</v>
      </c>
      <c r="AH162" s="1096">
        <v>0</v>
      </c>
      <c r="AI162" s="1096">
        <v>0</v>
      </c>
      <c r="AJ162" s="1096">
        <v>0</v>
      </c>
      <c r="AK162" s="1096">
        <v>0</v>
      </c>
      <c r="AL162" s="1096">
        <v>0</v>
      </c>
      <c r="AM162" s="1096">
        <v>0</v>
      </c>
      <c r="AN162" s="1096">
        <v>0</v>
      </c>
      <c r="AO162" s="1096">
        <v>0</v>
      </c>
      <c r="AP162" s="1096">
        <v>0</v>
      </c>
      <c r="AQ162" s="1096">
        <v>0</v>
      </c>
      <c r="AR162" s="1096">
        <v>0</v>
      </c>
      <c r="AS162" s="1096">
        <v>0</v>
      </c>
      <c r="AT162" s="1096">
        <v>0</v>
      </c>
      <c r="AU162" s="1096">
        <v>0</v>
      </c>
    </row>
    <row r="163" spans="1:47" s="1077" customFormat="1" ht="30" x14ac:dyDescent="0.25">
      <c r="A163" s="99">
        <v>513</v>
      </c>
      <c r="B163" s="99"/>
      <c r="C163" s="1084">
        <v>513</v>
      </c>
      <c r="D163" s="1085" t="s">
        <v>263</v>
      </c>
      <c r="E163" s="1091">
        <v>0</v>
      </c>
      <c r="F163" s="1071">
        <v>0</v>
      </c>
      <c r="G163" s="1071">
        <v>0</v>
      </c>
      <c r="H163" s="1071">
        <v>0</v>
      </c>
      <c r="I163" s="1071">
        <v>0</v>
      </c>
      <c r="J163" s="1072">
        <v>0</v>
      </c>
      <c r="K163" s="1096">
        <v>0</v>
      </c>
      <c r="L163" s="1097">
        <v>0</v>
      </c>
      <c r="M163" s="1097">
        <v>0</v>
      </c>
      <c r="N163" s="1097">
        <v>0</v>
      </c>
      <c r="O163" s="1097">
        <v>0</v>
      </c>
      <c r="P163" s="1097">
        <v>0</v>
      </c>
      <c r="Q163" s="1097">
        <v>0</v>
      </c>
      <c r="R163" s="1097">
        <v>0</v>
      </c>
      <c r="S163" s="1097">
        <v>0</v>
      </c>
      <c r="T163" s="1097">
        <v>0</v>
      </c>
      <c r="U163" s="1097">
        <v>0</v>
      </c>
      <c r="V163" s="1097">
        <v>0</v>
      </c>
      <c r="W163" s="1097">
        <v>0</v>
      </c>
      <c r="X163" s="1097">
        <v>0</v>
      </c>
      <c r="Y163" s="1097">
        <v>0</v>
      </c>
      <c r="Z163" s="1097">
        <v>0</v>
      </c>
      <c r="AA163" s="1096">
        <v>0</v>
      </c>
      <c r="AB163" s="1096">
        <v>0</v>
      </c>
      <c r="AC163" s="1096">
        <v>0</v>
      </c>
      <c r="AD163" s="1096">
        <v>0</v>
      </c>
      <c r="AE163" s="1096">
        <v>0</v>
      </c>
      <c r="AF163" s="1096">
        <v>0</v>
      </c>
      <c r="AG163" s="1096">
        <v>0</v>
      </c>
      <c r="AH163" s="1096">
        <v>0</v>
      </c>
      <c r="AI163" s="1096">
        <v>0</v>
      </c>
      <c r="AJ163" s="1096">
        <v>0</v>
      </c>
      <c r="AK163" s="1096">
        <v>0</v>
      </c>
      <c r="AL163" s="1096">
        <v>0</v>
      </c>
      <c r="AM163" s="1096">
        <v>0</v>
      </c>
      <c r="AN163" s="1096">
        <v>0</v>
      </c>
      <c r="AO163" s="1096">
        <v>0</v>
      </c>
      <c r="AP163" s="1096">
        <v>0</v>
      </c>
      <c r="AQ163" s="1096">
        <v>0</v>
      </c>
      <c r="AR163" s="1096">
        <v>0</v>
      </c>
      <c r="AS163" s="1096">
        <v>0</v>
      </c>
      <c r="AT163" s="1096">
        <v>0</v>
      </c>
      <c r="AU163" s="1096">
        <v>0</v>
      </c>
    </row>
    <row r="164" spans="1:47" s="1077" customFormat="1" ht="30" x14ac:dyDescent="0.25">
      <c r="A164" s="99">
        <v>514</v>
      </c>
      <c r="B164" s="99"/>
      <c r="C164" s="1084">
        <v>514</v>
      </c>
      <c r="D164" s="1085" t="s">
        <v>264</v>
      </c>
      <c r="E164" s="1091">
        <v>0</v>
      </c>
      <c r="F164" s="1071">
        <v>0</v>
      </c>
      <c r="G164" s="1071">
        <v>0</v>
      </c>
      <c r="H164" s="1071">
        <v>0</v>
      </c>
      <c r="I164" s="1071">
        <v>0</v>
      </c>
      <c r="J164" s="1072">
        <v>0</v>
      </c>
      <c r="K164" s="1096">
        <v>0</v>
      </c>
      <c r="L164" s="1097">
        <v>0</v>
      </c>
      <c r="M164" s="1097">
        <v>0</v>
      </c>
      <c r="N164" s="1097">
        <v>0</v>
      </c>
      <c r="O164" s="1097">
        <v>0</v>
      </c>
      <c r="P164" s="1097">
        <v>0</v>
      </c>
      <c r="Q164" s="1097">
        <v>0</v>
      </c>
      <c r="R164" s="1097">
        <v>0</v>
      </c>
      <c r="S164" s="1097">
        <v>0</v>
      </c>
      <c r="T164" s="1097">
        <v>0</v>
      </c>
      <c r="U164" s="1097">
        <v>0</v>
      </c>
      <c r="V164" s="1097">
        <v>0</v>
      </c>
      <c r="W164" s="1097">
        <v>0</v>
      </c>
      <c r="X164" s="1097">
        <v>0</v>
      </c>
      <c r="Y164" s="1097">
        <v>0</v>
      </c>
      <c r="Z164" s="1097">
        <v>0</v>
      </c>
      <c r="AA164" s="1096">
        <v>0</v>
      </c>
      <c r="AB164" s="1096">
        <v>0</v>
      </c>
      <c r="AC164" s="1096">
        <v>0</v>
      </c>
      <c r="AD164" s="1096">
        <v>0</v>
      </c>
      <c r="AE164" s="1096">
        <v>0</v>
      </c>
      <c r="AF164" s="1096">
        <v>0</v>
      </c>
      <c r="AG164" s="1096">
        <v>0</v>
      </c>
      <c r="AH164" s="1096">
        <v>0</v>
      </c>
      <c r="AI164" s="1096">
        <v>0</v>
      </c>
      <c r="AJ164" s="1096">
        <v>0</v>
      </c>
      <c r="AK164" s="1096">
        <v>0</v>
      </c>
      <c r="AL164" s="1096">
        <v>0</v>
      </c>
      <c r="AM164" s="1096">
        <v>0</v>
      </c>
      <c r="AN164" s="1096">
        <v>0</v>
      </c>
      <c r="AO164" s="1096">
        <v>0</v>
      </c>
      <c r="AP164" s="1096">
        <v>0</v>
      </c>
      <c r="AQ164" s="1096">
        <v>0</v>
      </c>
      <c r="AR164" s="1096">
        <v>0</v>
      </c>
      <c r="AS164" s="1096">
        <v>0</v>
      </c>
      <c r="AT164" s="1096">
        <v>0</v>
      </c>
      <c r="AU164" s="1096">
        <v>0</v>
      </c>
    </row>
    <row r="165" spans="1:47" s="1077" customFormat="1" x14ac:dyDescent="0.25">
      <c r="A165" s="99">
        <v>515</v>
      </c>
      <c r="B165" s="99"/>
      <c r="C165" s="1084">
        <v>515</v>
      </c>
      <c r="D165" s="1085" t="s">
        <v>277</v>
      </c>
      <c r="E165" s="1091">
        <v>0</v>
      </c>
      <c r="F165" s="1071">
        <v>0</v>
      </c>
      <c r="G165" s="1071">
        <v>0</v>
      </c>
      <c r="H165" s="1071">
        <v>0</v>
      </c>
      <c r="I165" s="1071">
        <v>0</v>
      </c>
      <c r="J165" s="1072">
        <v>0</v>
      </c>
      <c r="K165" s="1096">
        <v>0</v>
      </c>
      <c r="L165" s="1097">
        <v>0</v>
      </c>
      <c r="M165" s="1097">
        <v>0</v>
      </c>
      <c r="N165" s="1097">
        <v>0</v>
      </c>
      <c r="O165" s="1097">
        <v>0</v>
      </c>
      <c r="P165" s="1097">
        <v>0</v>
      </c>
      <c r="Q165" s="1097">
        <v>0</v>
      </c>
      <c r="R165" s="1097">
        <v>0</v>
      </c>
      <c r="S165" s="1097">
        <v>0</v>
      </c>
      <c r="T165" s="1097">
        <v>0</v>
      </c>
      <c r="U165" s="1097">
        <v>0</v>
      </c>
      <c r="V165" s="1097">
        <v>0</v>
      </c>
      <c r="W165" s="1097">
        <v>0</v>
      </c>
      <c r="X165" s="1097">
        <v>0</v>
      </c>
      <c r="Y165" s="1097">
        <v>0</v>
      </c>
      <c r="Z165" s="1097">
        <v>0</v>
      </c>
      <c r="AA165" s="1096">
        <v>0</v>
      </c>
      <c r="AB165" s="1096">
        <v>0</v>
      </c>
      <c r="AC165" s="1096">
        <v>0</v>
      </c>
      <c r="AD165" s="1096">
        <v>0</v>
      </c>
      <c r="AE165" s="1096">
        <v>0</v>
      </c>
      <c r="AF165" s="1096">
        <v>0</v>
      </c>
      <c r="AG165" s="1096">
        <v>0</v>
      </c>
      <c r="AH165" s="1096">
        <v>0</v>
      </c>
      <c r="AI165" s="1096">
        <v>0</v>
      </c>
      <c r="AJ165" s="1096">
        <v>0</v>
      </c>
      <c r="AK165" s="1096">
        <v>0</v>
      </c>
      <c r="AL165" s="1096">
        <v>0</v>
      </c>
      <c r="AM165" s="1096">
        <v>0</v>
      </c>
      <c r="AN165" s="1096">
        <v>0</v>
      </c>
      <c r="AO165" s="1096">
        <v>0</v>
      </c>
      <c r="AP165" s="1096">
        <v>0</v>
      </c>
      <c r="AQ165" s="1096">
        <v>0</v>
      </c>
      <c r="AR165" s="1096">
        <v>0</v>
      </c>
      <c r="AS165" s="1096">
        <v>0</v>
      </c>
      <c r="AT165" s="1096">
        <v>0</v>
      </c>
      <c r="AU165" s="1096">
        <v>0</v>
      </c>
    </row>
    <row r="166" spans="1:47" s="1077" customFormat="1" ht="30" x14ac:dyDescent="0.25">
      <c r="A166" s="99">
        <v>516</v>
      </c>
      <c r="B166" s="99"/>
      <c r="C166" s="1084">
        <v>516</v>
      </c>
      <c r="D166" s="1085" t="s">
        <v>278</v>
      </c>
      <c r="E166" s="1091">
        <v>0</v>
      </c>
      <c r="F166" s="1071">
        <v>0</v>
      </c>
      <c r="G166" s="1071">
        <v>0</v>
      </c>
      <c r="H166" s="1071">
        <v>0</v>
      </c>
      <c r="I166" s="1071">
        <v>0</v>
      </c>
      <c r="J166" s="1072">
        <v>0</v>
      </c>
      <c r="K166" s="1096">
        <v>0</v>
      </c>
      <c r="L166" s="1097">
        <v>0</v>
      </c>
      <c r="M166" s="1097">
        <v>0</v>
      </c>
      <c r="N166" s="1097">
        <v>0</v>
      </c>
      <c r="O166" s="1097">
        <v>0</v>
      </c>
      <c r="P166" s="1097">
        <v>0</v>
      </c>
      <c r="Q166" s="1097">
        <v>0</v>
      </c>
      <c r="R166" s="1097">
        <v>0</v>
      </c>
      <c r="S166" s="1097">
        <v>0</v>
      </c>
      <c r="T166" s="1097">
        <v>0</v>
      </c>
      <c r="U166" s="1097">
        <v>0</v>
      </c>
      <c r="V166" s="1097">
        <v>0</v>
      </c>
      <c r="W166" s="1097">
        <v>0</v>
      </c>
      <c r="X166" s="1097">
        <v>0</v>
      </c>
      <c r="Y166" s="1097">
        <v>0</v>
      </c>
      <c r="Z166" s="1097">
        <v>0</v>
      </c>
      <c r="AA166" s="1096">
        <v>0</v>
      </c>
      <c r="AB166" s="1096">
        <v>0</v>
      </c>
      <c r="AC166" s="1096">
        <v>0</v>
      </c>
      <c r="AD166" s="1096">
        <v>0</v>
      </c>
      <c r="AE166" s="1096">
        <v>0</v>
      </c>
      <c r="AF166" s="1096">
        <v>0</v>
      </c>
      <c r="AG166" s="1096">
        <v>0</v>
      </c>
      <c r="AH166" s="1096">
        <v>0</v>
      </c>
      <c r="AI166" s="1096">
        <v>0</v>
      </c>
      <c r="AJ166" s="1096">
        <v>0</v>
      </c>
      <c r="AK166" s="1096">
        <v>0</v>
      </c>
      <c r="AL166" s="1096">
        <v>0</v>
      </c>
      <c r="AM166" s="1096">
        <v>0</v>
      </c>
      <c r="AN166" s="1096">
        <v>0</v>
      </c>
      <c r="AO166" s="1096">
        <v>0</v>
      </c>
      <c r="AP166" s="1096">
        <v>0</v>
      </c>
      <c r="AQ166" s="1096">
        <v>0</v>
      </c>
      <c r="AR166" s="1096">
        <v>0</v>
      </c>
      <c r="AS166" s="1096">
        <v>0</v>
      </c>
      <c r="AT166" s="1096">
        <v>0</v>
      </c>
      <c r="AU166" s="1096">
        <v>0</v>
      </c>
    </row>
    <row r="167" spans="1:47" s="1077" customFormat="1" x14ac:dyDescent="0.25">
      <c r="A167" s="99">
        <v>517</v>
      </c>
      <c r="B167" s="99"/>
      <c r="C167" s="1084">
        <v>517</v>
      </c>
      <c r="D167" s="1085" t="s">
        <v>279</v>
      </c>
      <c r="E167" s="1091">
        <v>0</v>
      </c>
      <c r="F167" s="1071">
        <v>0</v>
      </c>
      <c r="G167" s="1071">
        <v>0</v>
      </c>
      <c r="H167" s="1071">
        <v>0</v>
      </c>
      <c r="I167" s="1071">
        <v>0</v>
      </c>
      <c r="J167" s="1072">
        <v>0</v>
      </c>
      <c r="K167" s="1096">
        <v>0</v>
      </c>
      <c r="L167" s="1097">
        <v>0</v>
      </c>
      <c r="M167" s="1097">
        <v>0</v>
      </c>
      <c r="N167" s="1097">
        <v>0</v>
      </c>
      <c r="O167" s="1097">
        <v>0</v>
      </c>
      <c r="P167" s="1097">
        <v>0</v>
      </c>
      <c r="Q167" s="1097">
        <v>0</v>
      </c>
      <c r="R167" s="1097">
        <v>0</v>
      </c>
      <c r="S167" s="1097">
        <v>0</v>
      </c>
      <c r="T167" s="1097">
        <v>0</v>
      </c>
      <c r="U167" s="1097">
        <v>0</v>
      </c>
      <c r="V167" s="1097">
        <v>0</v>
      </c>
      <c r="W167" s="1097">
        <v>0</v>
      </c>
      <c r="X167" s="1097">
        <v>0</v>
      </c>
      <c r="Y167" s="1097">
        <v>0</v>
      </c>
      <c r="Z167" s="1097">
        <v>0</v>
      </c>
      <c r="AA167" s="1096">
        <v>0</v>
      </c>
      <c r="AB167" s="1096">
        <v>0</v>
      </c>
      <c r="AC167" s="1096">
        <v>0</v>
      </c>
      <c r="AD167" s="1096">
        <v>0</v>
      </c>
      <c r="AE167" s="1096">
        <v>0</v>
      </c>
      <c r="AF167" s="1096">
        <v>0</v>
      </c>
      <c r="AG167" s="1096">
        <v>0</v>
      </c>
      <c r="AH167" s="1096">
        <v>0</v>
      </c>
      <c r="AI167" s="1096">
        <v>0</v>
      </c>
      <c r="AJ167" s="1096">
        <v>0</v>
      </c>
      <c r="AK167" s="1096">
        <v>0</v>
      </c>
      <c r="AL167" s="1096">
        <v>0</v>
      </c>
      <c r="AM167" s="1096">
        <v>0</v>
      </c>
      <c r="AN167" s="1096">
        <v>0</v>
      </c>
      <c r="AO167" s="1096">
        <v>0</v>
      </c>
      <c r="AP167" s="1096">
        <v>0</v>
      </c>
      <c r="AQ167" s="1096">
        <v>0</v>
      </c>
      <c r="AR167" s="1096">
        <v>0</v>
      </c>
      <c r="AS167" s="1096">
        <v>0</v>
      </c>
      <c r="AT167" s="1096">
        <v>0</v>
      </c>
      <c r="AU167" s="1096">
        <v>0</v>
      </c>
    </row>
    <row r="168" spans="1:47" s="1077" customFormat="1" ht="30" x14ac:dyDescent="0.25">
      <c r="A168" s="99">
        <v>518</v>
      </c>
      <c r="B168" s="99"/>
      <c r="C168" s="1084">
        <v>518</v>
      </c>
      <c r="D168" s="1085" t="s">
        <v>280</v>
      </c>
      <c r="E168" s="1091">
        <v>0</v>
      </c>
      <c r="F168" s="1071">
        <v>0</v>
      </c>
      <c r="G168" s="1071">
        <v>0</v>
      </c>
      <c r="H168" s="1071">
        <v>0</v>
      </c>
      <c r="I168" s="1071">
        <v>0</v>
      </c>
      <c r="J168" s="1072">
        <v>0</v>
      </c>
      <c r="K168" s="1096">
        <v>0</v>
      </c>
      <c r="L168" s="1097">
        <v>0</v>
      </c>
      <c r="M168" s="1097">
        <v>0</v>
      </c>
      <c r="N168" s="1097">
        <v>0</v>
      </c>
      <c r="O168" s="1097">
        <v>0</v>
      </c>
      <c r="P168" s="1097">
        <v>0</v>
      </c>
      <c r="Q168" s="1097">
        <v>0</v>
      </c>
      <c r="R168" s="1097">
        <v>0</v>
      </c>
      <c r="S168" s="1097">
        <v>0</v>
      </c>
      <c r="T168" s="1097">
        <v>0</v>
      </c>
      <c r="U168" s="1097">
        <v>0</v>
      </c>
      <c r="V168" s="1097">
        <v>0</v>
      </c>
      <c r="W168" s="1097">
        <v>0</v>
      </c>
      <c r="X168" s="1097">
        <v>0</v>
      </c>
      <c r="Y168" s="1097">
        <v>0</v>
      </c>
      <c r="Z168" s="1097">
        <v>0</v>
      </c>
      <c r="AA168" s="1096">
        <v>0</v>
      </c>
      <c r="AB168" s="1096">
        <v>0</v>
      </c>
      <c r="AC168" s="1096">
        <v>0</v>
      </c>
      <c r="AD168" s="1096">
        <v>0</v>
      </c>
      <c r="AE168" s="1096">
        <v>0</v>
      </c>
      <c r="AF168" s="1096">
        <v>0</v>
      </c>
      <c r="AG168" s="1096">
        <v>0</v>
      </c>
      <c r="AH168" s="1096">
        <v>0</v>
      </c>
      <c r="AI168" s="1096">
        <v>0</v>
      </c>
      <c r="AJ168" s="1096">
        <v>0</v>
      </c>
      <c r="AK168" s="1096">
        <v>0</v>
      </c>
      <c r="AL168" s="1096">
        <v>0</v>
      </c>
      <c r="AM168" s="1096">
        <v>0</v>
      </c>
      <c r="AN168" s="1096">
        <v>0</v>
      </c>
      <c r="AO168" s="1096">
        <v>0</v>
      </c>
      <c r="AP168" s="1096">
        <v>0</v>
      </c>
      <c r="AQ168" s="1096">
        <v>0</v>
      </c>
      <c r="AR168" s="1096">
        <v>0</v>
      </c>
      <c r="AS168" s="1096">
        <v>0</v>
      </c>
      <c r="AT168" s="1096">
        <v>0</v>
      </c>
      <c r="AU168" s="1096">
        <v>0</v>
      </c>
    </row>
    <row r="169" spans="1:47" s="1077" customFormat="1" x14ac:dyDescent="0.25">
      <c r="A169" s="99">
        <v>519</v>
      </c>
      <c r="B169" s="99"/>
      <c r="C169" s="1084">
        <v>519</v>
      </c>
      <c r="D169" s="1085" t="s">
        <v>281</v>
      </c>
      <c r="E169" s="1091">
        <v>0</v>
      </c>
      <c r="F169" s="1071">
        <v>0</v>
      </c>
      <c r="G169" s="1071">
        <v>0</v>
      </c>
      <c r="H169" s="1071">
        <v>0</v>
      </c>
      <c r="I169" s="1071">
        <v>0</v>
      </c>
      <c r="J169" s="1072">
        <v>0</v>
      </c>
      <c r="K169" s="1096">
        <v>0</v>
      </c>
      <c r="L169" s="1097">
        <v>0</v>
      </c>
      <c r="M169" s="1097">
        <v>0</v>
      </c>
      <c r="N169" s="1097">
        <v>0</v>
      </c>
      <c r="O169" s="1097">
        <v>0</v>
      </c>
      <c r="P169" s="1097">
        <v>0</v>
      </c>
      <c r="Q169" s="1097">
        <v>0</v>
      </c>
      <c r="R169" s="1097">
        <v>0</v>
      </c>
      <c r="S169" s="1097">
        <v>0</v>
      </c>
      <c r="T169" s="1097">
        <v>0</v>
      </c>
      <c r="U169" s="1097">
        <v>0</v>
      </c>
      <c r="V169" s="1097">
        <v>0</v>
      </c>
      <c r="W169" s="1097">
        <v>0</v>
      </c>
      <c r="X169" s="1097">
        <v>0</v>
      </c>
      <c r="Y169" s="1097">
        <v>0</v>
      </c>
      <c r="Z169" s="1097">
        <v>0</v>
      </c>
      <c r="AA169" s="1096">
        <v>0</v>
      </c>
      <c r="AB169" s="1096">
        <v>0</v>
      </c>
      <c r="AC169" s="1096">
        <v>0</v>
      </c>
      <c r="AD169" s="1096">
        <v>0</v>
      </c>
      <c r="AE169" s="1096">
        <v>0</v>
      </c>
      <c r="AF169" s="1096">
        <v>0</v>
      </c>
      <c r="AG169" s="1096">
        <v>0</v>
      </c>
      <c r="AH169" s="1096">
        <v>0</v>
      </c>
      <c r="AI169" s="1096">
        <v>0</v>
      </c>
      <c r="AJ169" s="1096">
        <v>0</v>
      </c>
      <c r="AK169" s="1096">
        <v>0</v>
      </c>
      <c r="AL169" s="1096">
        <v>0</v>
      </c>
      <c r="AM169" s="1096">
        <v>0</v>
      </c>
      <c r="AN169" s="1096">
        <v>0</v>
      </c>
      <c r="AO169" s="1096">
        <v>0</v>
      </c>
      <c r="AP169" s="1096">
        <v>0</v>
      </c>
      <c r="AQ169" s="1096">
        <v>0</v>
      </c>
      <c r="AR169" s="1096">
        <v>0</v>
      </c>
      <c r="AS169" s="1096">
        <v>0</v>
      </c>
      <c r="AT169" s="1096">
        <v>0</v>
      </c>
      <c r="AU169" s="1096">
        <v>0</v>
      </c>
    </row>
    <row r="170" spans="1:47" s="1077" customFormat="1" ht="30" x14ac:dyDescent="0.25">
      <c r="A170" s="99">
        <v>520</v>
      </c>
      <c r="B170" s="99"/>
      <c r="C170" s="1084">
        <v>520</v>
      </c>
      <c r="D170" s="1085" t="s">
        <v>282</v>
      </c>
      <c r="E170" s="1091">
        <v>0</v>
      </c>
      <c r="F170" s="1071">
        <v>0</v>
      </c>
      <c r="G170" s="1071">
        <v>0</v>
      </c>
      <c r="H170" s="1071">
        <v>0</v>
      </c>
      <c r="I170" s="1071">
        <v>0</v>
      </c>
      <c r="J170" s="1072">
        <v>0</v>
      </c>
      <c r="K170" s="1096">
        <v>0</v>
      </c>
      <c r="L170" s="1097">
        <v>0</v>
      </c>
      <c r="M170" s="1097">
        <v>0</v>
      </c>
      <c r="N170" s="1097">
        <v>0</v>
      </c>
      <c r="O170" s="1097">
        <v>0</v>
      </c>
      <c r="P170" s="1097">
        <v>0</v>
      </c>
      <c r="Q170" s="1097">
        <v>0</v>
      </c>
      <c r="R170" s="1097">
        <v>0</v>
      </c>
      <c r="S170" s="1097">
        <v>0</v>
      </c>
      <c r="T170" s="1097">
        <v>0</v>
      </c>
      <c r="U170" s="1097">
        <v>0</v>
      </c>
      <c r="V170" s="1097">
        <v>0</v>
      </c>
      <c r="W170" s="1097">
        <v>0</v>
      </c>
      <c r="X170" s="1097">
        <v>0</v>
      </c>
      <c r="Y170" s="1097">
        <v>0</v>
      </c>
      <c r="Z170" s="1097">
        <v>0</v>
      </c>
      <c r="AA170" s="1096">
        <v>0</v>
      </c>
      <c r="AB170" s="1096">
        <v>0</v>
      </c>
      <c r="AC170" s="1096">
        <v>0</v>
      </c>
      <c r="AD170" s="1096">
        <v>0</v>
      </c>
      <c r="AE170" s="1096">
        <v>0</v>
      </c>
      <c r="AF170" s="1096">
        <v>0</v>
      </c>
      <c r="AG170" s="1096">
        <v>0</v>
      </c>
      <c r="AH170" s="1096">
        <v>0</v>
      </c>
      <c r="AI170" s="1096">
        <v>0</v>
      </c>
      <c r="AJ170" s="1096">
        <v>0</v>
      </c>
      <c r="AK170" s="1096">
        <v>0</v>
      </c>
      <c r="AL170" s="1096">
        <v>0</v>
      </c>
      <c r="AM170" s="1096">
        <v>0</v>
      </c>
      <c r="AN170" s="1096">
        <v>0</v>
      </c>
      <c r="AO170" s="1096">
        <v>0</v>
      </c>
      <c r="AP170" s="1096">
        <v>0</v>
      </c>
      <c r="AQ170" s="1096">
        <v>0</v>
      </c>
      <c r="AR170" s="1096">
        <v>0</v>
      </c>
      <c r="AS170" s="1096">
        <v>0</v>
      </c>
      <c r="AT170" s="1096">
        <v>0</v>
      </c>
      <c r="AU170" s="1096">
        <v>0</v>
      </c>
    </row>
    <row r="171" spans="1:47" s="1077" customFormat="1" x14ac:dyDescent="0.25">
      <c r="A171" s="99">
        <v>521</v>
      </c>
      <c r="B171" s="99"/>
      <c r="C171" s="1084">
        <v>521</v>
      </c>
      <c r="D171" s="1085" t="s">
        <v>283</v>
      </c>
      <c r="E171" s="1091">
        <v>0</v>
      </c>
      <c r="F171" s="1071">
        <v>0</v>
      </c>
      <c r="G171" s="1071">
        <v>0</v>
      </c>
      <c r="H171" s="1071">
        <v>0</v>
      </c>
      <c r="I171" s="1071">
        <v>0</v>
      </c>
      <c r="J171" s="1072">
        <v>0</v>
      </c>
      <c r="K171" s="1096">
        <v>0</v>
      </c>
      <c r="L171" s="1097">
        <v>0</v>
      </c>
      <c r="M171" s="1097">
        <v>0</v>
      </c>
      <c r="N171" s="1097">
        <v>0</v>
      </c>
      <c r="O171" s="1097">
        <v>0</v>
      </c>
      <c r="P171" s="1097">
        <v>0</v>
      </c>
      <c r="Q171" s="1097">
        <v>0</v>
      </c>
      <c r="R171" s="1097">
        <v>0</v>
      </c>
      <c r="S171" s="1097">
        <v>0</v>
      </c>
      <c r="T171" s="1097">
        <v>0</v>
      </c>
      <c r="U171" s="1097">
        <v>0</v>
      </c>
      <c r="V171" s="1097">
        <v>0</v>
      </c>
      <c r="W171" s="1097">
        <v>0</v>
      </c>
      <c r="X171" s="1097">
        <v>0</v>
      </c>
      <c r="Y171" s="1097">
        <v>0</v>
      </c>
      <c r="Z171" s="1097">
        <v>0</v>
      </c>
      <c r="AA171" s="1096">
        <v>0</v>
      </c>
      <c r="AB171" s="1096">
        <v>0</v>
      </c>
      <c r="AC171" s="1096">
        <v>0</v>
      </c>
      <c r="AD171" s="1096">
        <v>0</v>
      </c>
      <c r="AE171" s="1096">
        <v>0</v>
      </c>
      <c r="AF171" s="1096">
        <v>0</v>
      </c>
      <c r="AG171" s="1096">
        <v>0</v>
      </c>
      <c r="AH171" s="1096">
        <v>0</v>
      </c>
      <c r="AI171" s="1096">
        <v>0</v>
      </c>
      <c r="AJ171" s="1096">
        <v>0</v>
      </c>
      <c r="AK171" s="1096">
        <v>0</v>
      </c>
      <c r="AL171" s="1096">
        <v>0</v>
      </c>
      <c r="AM171" s="1096">
        <v>0</v>
      </c>
      <c r="AN171" s="1096">
        <v>0</v>
      </c>
      <c r="AO171" s="1096">
        <v>0</v>
      </c>
      <c r="AP171" s="1096">
        <v>0</v>
      </c>
      <c r="AQ171" s="1096">
        <v>0</v>
      </c>
      <c r="AR171" s="1096">
        <v>0</v>
      </c>
      <c r="AS171" s="1096">
        <v>0</v>
      </c>
      <c r="AT171" s="1096">
        <v>0</v>
      </c>
      <c r="AU171" s="1096">
        <v>0</v>
      </c>
    </row>
    <row r="172" spans="1:47" s="1077" customFormat="1" ht="30" x14ac:dyDescent="0.25">
      <c r="A172" s="99">
        <v>522</v>
      </c>
      <c r="B172" s="99"/>
      <c r="C172" s="1084">
        <v>522</v>
      </c>
      <c r="D172" s="1085" t="s">
        <v>284</v>
      </c>
      <c r="E172" s="1091">
        <v>0</v>
      </c>
      <c r="F172" s="1071">
        <v>0</v>
      </c>
      <c r="G172" s="1071">
        <v>0</v>
      </c>
      <c r="H172" s="1071">
        <v>0</v>
      </c>
      <c r="I172" s="1071">
        <v>0</v>
      </c>
      <c r="J172" s="1072">
        <v>0</v>
      </c>
      <c r="K172" s="1096">
        <v>0</v>
      </c>
      <c r="L172" s="1097">
        <v>0</v>
      </c>
      <c r="M172" s="1097">
        <v>0</v>
      </c>
      <c r="N172" s="1097">
        <v>0</v>
      </c>
      <c r="O172" s="1097">
        <v>0</v>
      </c>
      <c r="P172" s="1097">
        <v>0</v>
      </c>
      <c r="Q172" s="1097">
        <v>0</v>
      </c>
      <c r="R172" s="1097">
        <v>0</v>
      </c>
      <c r="S172" s="1097">
        <v>0</v>
      </c>
      <c r="T172" s="1097">
        <v>0</v>
      </c>
      <c r="U172" s="1097">
        <v>0</v>
      </c>
      <c r="V172" s="1097">
        <v>0</v>
      </c>
      <c r="W172" s="1097">
        <v>0</v>
      </c>
      <c r="X172" s="1097">
        <v>0</v>
      </c>
      <c r="Y172" s="1097">
        <v>0</v>
      </c>
      <c r="Z172" s="1097">
        <v>0</v>
      </c>
      <c r="AA172" s="1096">
        <v>0</v>
      </c>
      <c r="AB172" s="1096">
        <v>0</v>
      </c>
      <c r="AC172" s="1096">
        <v>0</v>
      </c>
      <c r="AD172" s="1096">
        <v>0</v>
      </c>
      <c r="AE172" s="1096">
        <v>0</v>
      </c>
      <c r="AF172" s="1096">
        <v>0</v>
      </c>
      <c r="AG172" s="1096">
        <v>0</v>
      </c>
      <c r="AH172" s="1096">
        <v>0</v>
      </c>
      <c r="AI172" s="1096">
        <v>0</v>
      </c>
      <c r="AJ172" s="1096">
        <v>0</v>
      </c>
      <c r="AK172" s="1096">
        <v>0</v>
      </c>
      <c r="AL172" s="1096">
        <v>0</v>
      </c>
      <c r="AM172" s="1096">
        <v>0</v>
      </c>
      <c r="AN172" s="1096">
        <v>0</v>
      </c>
      <c r="AO172" s="1096">
        <v>0</v>
      </c>
      <c r="AP172" s="1096">
        <v>0</v>
      </c>
      <c r="AQ172" s="1096">
        <v>0</v>
      </c>
      <c r="AR172" s="1096">
        <v>0</v>
      </c>
      <c r="AS172" s="1096">
        <v>0</v>
      </c>
      <c r="AT172" s="1096">
        <v>0</v>
      </c>
      <c r="AU172" s="1096">
        <v>0</v>
      </c>
    </row>
    <row r="173" spans="1:47" s="1077" customFormat="1" x14ac:dyDescent="0.25">
      <c r="A173" s="99">
        <v>523</v>
      </c>
      <c r="B173" s="99"/>
      <c r="C173" s="1084">
        <v>523</v>
      </c>
      <c r="D173" s="1085" t="s">
        <v>285</v>
      </c>
      <c r="E173" s="1091">
        <v>0</v>
      </c>
      <c r="F173" s="1071">
        <v>0</v>
      </c>
      <c r="G173" s="1071">
        <v>0</v>
      </c>
      <c r="H173" s="1071">
        <v>0</v>
      </c>
      <c r="I173" s="1071">
        <v>0</v>
      </c>
      <c r="J173" s="1072">
        <v>0</v>
      </c>
      <c r="K173" s="1096">
        <v>0</v>
      </c>
      <c r="L173" s="1097">
        <v>0</v>
      </c>
      <c r="M173" s="1097">
        <v>0</v>
      </c>
      <c r="N173" s="1097">
        <v>0</v>
      </c>
      <c r="O173" s="1097">
        <v>0</v>
      </c>
      <c r="P173" s="1097">
        <v>0</v>
      </c>
      <c r="Q173" s="1097">
        <v>0</v>
      </c>
      <c r="R173" s="1097">
        <v>0</v>
      </c>
      <c r="S173" s="1097">
        <v>0</v>
      </c>
      <c r="T173" s="1097">
        <v>0</v>
      </c>
      <c r="U173" s="1097">
        <v>0</v>
      </c>
      <c r="V173" s="1097">
        <v>0</v>
      </c>
      <c r="W173" s="1097">
        <v>0</v>
      </c>
      <c r="X173" s="1097">
        <v>0</v>
      </c>
      <c r="Y173" s="1097">
        <v>0</v>
      </c>
      <c r="Z173" s="1097">
        <v>0</v>
      </c>
      <c r="AA173" s="1096">
        <v>0</v>
      </c>
      <c r="AB173" s="1096">
        <v>0</v>
      </c>
      <c r="AC173" s="1096">
        <v>0</v>
      </c>
      <c r="AD173" s="1096">
        <v>0</v>
      </c>
      <c r="AE173" s="1096">
        <v>0</v>
      </c>
      <c r="AF173" s="1096">
        <v>0</v>
      </c>
      <c r="AG173" s="1096">
        <v>0</v>
      </c>
      <c r="AH173" s="1096">
        <v>0</v>
      </c>
      <c r="AI173" s="1096">
        <v>0</v>
      </c>
      <c r="AJ173" s="1096">
        <v>0</v>
      </c>
      <c r="AK173" s="1096">
        <v>0</v>
      </c>
      <c r="AL173" s="1096">
        <v>0</v>
      </c>
      <c r="AM173" s="1096">
        <v>0</v>
      </c>
      <c r="AN173" s="1096">
        <v>0</v>
      </c>
      <c r="AO173" s="1096">
        <v>0</v>
      </c>
      <c r="AP173" s="1096">
        <v>0</v>
      </c>
      <c r="AQ173" s="1096">
        <v>0</v>
      </c>
      <c r="AR173" s="1096">
        <v>0</v>
      </c>
      <c r="AS173" s="1096">
        <v>0</v>
      </c>
      <c r="AT173" s="1096">
        <v>0</v>
      </c>
      <c r="AU173" s="1096">
        <v>0</v>
      </c>
    </row>
    <row r="174" spans="1:47" s="1077" customFormat="1" ht="30" x14ac:dyDescent="0.25">
      <c r="A174" s="99">
        <v>524</v>
      </c>
      <c r="B174" s="99"/>
      <c r="C174" s="1084">
        <v>524</v>
      </c>
      <c r="D174" s="1085" t="s">
        <v>286</v>
      </c>
      <c r="E174" s="1091">
        <v>0</v>
      </c>
      <c r="F174" s="1071">
        <v>0</v>
      </c>
      <c r="G174" s="1071">
        <v>0</v>
      </c>
      <c r="H174" s="1071">
        <v>0</v>
      </c>
      <c r="I174" s="1071">
        <v>0</v>
      </c>
      <c r="J174" s="1072">
        <v>0</v>
      </c>
      <c r="K174" s="1096">
        <v>0</v>
      </c>
      <c r="L174" s="1097">
        <v>0</v>
      </c>
      <c r="M174" s="1097">
        <v>0</v>
      </c>
      <c r="N174" s="1097">
        <v>0</v>
      </c>
      <c r="O174" s="1097">
        <v>0</v>
      </c>
      <c r="P174" s="1097">
        <v>0</v>
      </c>
      <c r="Q174" s="1097">
        <v>0</v>
      </c>
      <c r="R174" s="1097">
        <v>0</v>
      </c>
      <c r="S174" s="1097">
        <v>0</v>
      </c>
      <c r="T174" s="1097">
        <v>0</v>
      </c>
      <c r="U174" s="1097">
        <v>0</v>
      </c>
      <c r="V174" s="1097">
        <v>0</v>
      </c>
      <c r="W174" s="1097">
        <v>0</v>
      </c>
      <c r="X174" s="1097">
        <v>0</v>
      </c>
      <c r="Y174" s="1097">
        <v>0</v>
      </c>
      <c r="Z174" s="1097">
        <v>0</v>
      </c>
      <c r="AA174" s="1096">
        <v>0</v>
      </c>
      <c r="AB174" s="1096">
        <v>0</v>
      </c>
      <c r="AC174" s="1096">
        <v>0</v>
      </c>
      <c r="AD174" s="1096">
        <v>0</v>
      </c>
      <c r="AE174" s="1096">
        <v>0</v>
      </c>
      <c r="AF174" s="1096">
        <v>0</v>
      </c>
      <c r="AG174" s="1096">
        <v>0</v>
      </c>
      <c r="AH174" s="1096">
        <v>0</v>
      </c>
      <c r="AI174" s="1096">
        <v>0</v>
      </c>
      <c r="AJ174" s="1096">
        <v>0</v>
      </c>
      <c r="AK174" s="1096">
        <v>0</v>
      </c>
      <c r="AL174" s="1096">
        <v>0</v>
      </c>
      <c r="AM174" s="1096">
        <v>0</v>
      </c>
      <c r="AN174" s="1096">
        <v>0</v>
      </c>
      <c r="AO174" s="1096">
        <v>0</v>
      </c>
      <c r="AP174" s="1096">
        <v>0</v>
      </c>
      <c r="AQ174" s="1096">
        <v>0</v>
      </c>
      <c r="AR174" s="1096">
        <v>0</v>
      </c>
      <c r="AS174" s="1096">
        <v>0</v>
      </c>
      <c r="AT174" s="1096">
        <v>0</v>
      </c>
      <c r="AU174" s="1096">
        <v>0</v>
      </c>
    </row>
    <row r="175" spans="1:47" s="1077" customFormat="1" x14ac:dyDescent="0.25">
      <c r="A175" s="99">
        <v>525</v>
      </c>
      <c r="B175" s="99"/>
      <c r="C175" s="1084">
        <v>525</v>
      </c>
      <c r="D175" s="1085" t="s">
        <v>287</v>
      </c>
      <c r="E175" s="1091">
        <v>0</v>
      </c>
      <c r="F175" s="1071">
        <v>0</v>
      </c>
      <c r="G175" s="1071">
        <v>0</v>
      </c>
      <c r="H175" s="1071">
        <v>0</v>
      </c>
      <c r="I175" s="1071">
        <v>0</v>
      </c>
      <c r="J175" s="1072">
        <v>0</v>
      </c>
      <c r="K175" s="1096">
        <v>0</v>
      </c>
      <c r="L175" s="1097">
        <v>0</v>
      </c>
      <c r="M175" s="1097">
        <v>0</v>
      </c>
      <c r="N175" s="1097">
        <v>0</v>
      </c>
      <c r="O175" s="1097">
        <v>0</v>
      </c>
      <c r="P175" s="1097">
        <v>0</v>
      </c>
      <c r="Q175" s="1097">
        <v>0</v>
      </c>
      <c r="R175" s="1097">
        <v>0</v>
      </c>
      <c r="S175" s="1097">
        <v>0</v>
      </c>
      <c r="T175" s="1097">
        <v>0</v>
      </c>
      <c r="U175" s="1097">
        <v>0</v>
      </c>
      <c r="V175" s="1097">
        <v>0</v>
      </c>
      <c r="W175" s="1097">
        <v>0</v>
      </c>
      <c r="X175" s="1097">
        <v>0</v>
      </c>
      <c r="Y175" s="1097">
        <v>0</v>
      </c>
      <c r="Z175" s="1097">
        <v>0</v>
      </c>
      <c r="AA175" s="1096">
        <v>0</v>
      </c>
      <c r="AB175" s="1096">
        <v>0</v>
      </c>
      <c r="AC175" s="1096">
        <v>0</v>
      </c>
      <c r="AD175" s="1096">
        <v>0</v>
      </c>
      <c r="AE175" s="1096">
        <v>0</v>
      </c>
      <c r="AF175" s="1096">
        <v>0</v>
      </c>
      <c r="AG175" s="1096">
        <v>0</v>
      </c>
      <c r="AH175" s="1096">
        <v>0</v>
      </c>
      <c r="AI175" s="1096">
        <v>0</v>
      </c>
      <c r="AJ175" s="1096">
        <v>0</v>
      </c>
      <c r="AK175" s="1096">
        <v>0</v>
      </c>
      <c r="AL175" s="1096">
        <v>0</v>
      </c>
      <c r="AM175" s="1096">
        <v>0</v>
      </c>
      <c r="AN175" s="1096">
        <v>0</v>
      </c>
      <c r="AO175" s="1096">
        <v>0</v>
      </c>
      <c r="AP175" s="1096">
        <v>0</v>
      </c>
      <c r="AQ175" s="1096">
        <v>0</v>
      </c>
      <c r="AR175" s="1096">
        <v>0</v>
      </c>
      <c r="AS175" s="1096">
        <v>0</v>
      </c>
      <c r="AT175" s="1096">
        <v>0</v>
      </c>
      <c r="AU175" s="1096">
        <v>0</v>
      </c>
    </row>
    <row r="176" spans="1:47" s="1077" customFormat="1" ht="30" x14ac:dyDescent="0.25">
      <c r="A176" s="99">
        <v>526</v>
      </c>
      <c r="B176" s="1088"/>
      <c r="C176" s="1084">
        <v>526</v>
      </c>
      <c r="D176" s="1085" t="s">
        <v>288</v>
      </c>
      <c r="E176" s="1091">
        <v>0</v>
      </c>
      <c r="F176" s="1071">
        <v>0</v>
      </c>
      <c r="G176" s="1071">
        <v>0</v>
      </c>
      <c r="H176" s="1071">
        <v>0</v>
      </c>
      <c r="I176" s="1071">
        <v>0</v>
      </c>
      <c r="J176" s="1072">
        <v>0</v>
      </c>
      <c r="K176" s="1096">
        <v>0</v>
      </c>
      <c r="L176" s="1097">
        <v>0</v>
      </c>
      <c r="M176" s="1097">
        <v>0</v>
      </c>
      <c r="N176" s="1097">
        <v>0</v>
      </c>
      <c r="O176" s="1097">
        <v>0</v>
      </c>
      <c r="P176" s="1097">
        <v>0</v>
      </c>
      <c r="Q176" s="1097">
        <v>0</v>
      </c>
      <c r="R176" s="1097">
        <v>0</v>
      </c>
      <c r="S176" s="1097">
        <v>0</v>
      </c>
      <c r="T176" s="1097">
        <v>0</v>
      </c>
      <c r="U176" s="1097">
        <v>0</v>
      </c>
      <c r="V176" s="1097">
        <v>0</v>
      </c>
      <c r="W176" s="1097">
        <v>0</v>
      </c>
      <c r="X176" s="1097">
        <v>0</v>
      </c>
      <c r="Y176" s="1097">
        <v>0</v>
      </c>
      <c r="Z176" s="1097">
        <v>0</v>
      </c>
      <c r="AA176" s="1096">
        <v>0</v>
      </c>
      <c r="AB176" s="1096">
        <v>0</v>
      </c>
      <c r="AC176" s="1096">
        <v>0</v>
      </c>
      <c r="AD176" s="1096">
        <v>0</v>
      </c>
      <c r="AE176" s="1096">
        <v>0</v>
      </c>
      <c r="AF176" s="1096">
        <v>0</v>
      </c>
      <c r="AG176" s="1096">
        <v>0</v>
      </c>
      <c r="AH176" s="1096">
        <v>0</v>
      </c>
      <c r="AI176" s="1096">
        <v>0</v>
      </c>
      <c r="AJ176" s="1096">
        <v>0</v>
      </c>
      <c r="AK176" s="1096">
        <v>0</v>
      </c>
      <c r="AL176" s="1096">
        <v>0</v>
      </c>
      <c r="AM176" s="1096">
        <v>0</v>
      </c>
      <c r="AN176" s="1096">
        <v>0</v>
      </c>
      <c r="AO176" s="1096">
        <v>0</v>
      </c>
      <c r="AP176" s="1096">
        <v>0</v>
      </c>
      <c r="AQ176" s="1096">
        <v>0</v>
      </c>
      <c r="AR176" s="1096">
        <v>0</v>
      </c>
      <c r="AS176" s="1096">
        <v>0</v>
      </c>
      <c r="AT176" s="1096">
        <v>0</v>
      </c>
      <c r="AU176" s="1096">
        <v>0</v>
      </c>
    </row>
    <row r="177" spans="1:47" s="1077" customFormat="1" ht="30" x14ac:dyDescent="0.25">
      <c r="A177" s="99">
        <v>527</v>
      </c>
      <c r="B177" s="1088"/>
      <c r="C177" s="1084">
        <v>527</v>
      </c>
      <c r="D177" s="1085" t="s">
        <v>289</v>
      </c>
      <c r="E177" s="1091">
        <v>0</v>
      </c>
      <c r="F177" s="1071">
        <v>0</v>
      </c>
      <c r="G177" s="1071">
        <v>0</v>
      </c>
      <c r="H177" s="1071">
        <v>0</v>
      </c>
      <c r="I177" s="1071">
        <v>0</v>
      </c>
      <c r="J177" s="1072">
        <v>0</v>
      </c>
      <c r="K177" s="1096">
        <v>0</v>
      </c>
      <c r="L177" s="1097">
        <v>0</v>
      </c>
      <c r="M177" s="1097">
        <v>0</v>
      </c>
      <c r="N177" s="1097">
        <v>0</v>
      </c>
      <c r="O177" s="1097">
        <v>0</v>
      </c>
      <c r="P177" s="1097">
        <v>0</v>
      </c>
      <c r="Q177" s="1097">
        <v>0</v>
      </c>
      <c r="R177" s="1097">
        <v>0</v>
      </c>
      <c r="S177" s="1097">
        <v>0</v>
      </c>
      <c r="T177" s="1097">
        <v>0</v>
      </c>
      <c r="U177" s="1097">
        <v>0</v>
      </c>
      <c r="V177" s="1097">
        <v>0</v>
      </c>
      <c r="W177" s="1097">
        <v>0</v>
      </c>
      <c r="X177" s="1097">
        <v>0</v>
      </c>
      <c r="Y177" s="1097">
        <v>0</v>
      </c>
      <c r="Z177" s="1097">
        <v>0</v>
      </c>
      <c r="AA177" s="1096">
        <v>0</v>
      </c>
      <c r="AB177" s="1096">
        <v>0</v>
      </c>
      <c r="AC177" s="1096">
        <v>0</v>
      </c>
      <c r="AD177" s="1096">
        <v>0</v>
      </c>
      <c r="AE177" s="1096">
        <v>0</v>
      </c>
      <c r="AF177" s="1096">
        <v>0</v>
      </c>
      <c r="AG177" s="1096">
        <v>0</v>
      </c>
      <c r="AH177" s="1096">
        <v>0</v>
      </c>
      <c r="AI177" s="1096">
        <v>0</v>
      </c>
      <c r="AJ177" s="1096">
        <v>0</v>
      </c>
      <c r="AK177" s="1096">
        <v>0</v>
      </c>
      <c r="AL177" s="1096">
        <v>0</v>
      </c>
      <c r="AM177" s="1096">
        <v>0</v>
      </c>
      <c r="AN177" s="1096">
        <v>0</v>
      </c>
      <c r="AO177" s="1096">
        <v>0</v>
      </c>
      <c r="AP177" s="1096">
        <v>0</v>
      </c>
      <c r="AQ177" s="1096">
        <v>0</v>
      </c>
      <c r="AR177" s="1096">
        <v>0</v>
      </c>
      <c r="AS177" s="1096">
        <v>0</v>
      </c>
      <c r="AT177" s="1096">
        <v>0</v>
      </c>
      <c r="AU177" s="1096">
        <v>0</v>
      </c>
    </row>
    <row r="178" spans="1:47" s="1077" customFormat="1" ht="30" x14ac:dyDescent="0.25">
      <c r="A178" s="99">
        <v>528</v>
      </c>
      <c r="B178" s="1088"/>
      <c r="C178" s="1084">
        <v>528</v>
      </c>
      <c r="D178" s="1085" t="s">
        <v>271</v>
      </c>
      <c r="E178" s="1091">
        <v>0</v>
      </c>
      <c r="F178" s="1071">
        <v>0</v>
      </c>
      <c r="G178" s="1071">
        <v>0</v>
      </c>
      <c r="H178" s="1071">
        <v>0</v>
      </c>
      <c r="I178" s="1071">
        <v>0</v>
      </c>
      <c r="J178" s="1072">
        <v>0</v>
      </c>
      <c r="K178" s="1096">
        <v>0</v>
      </c>
      <c r="L178" s="1097">
        <v>0</v>
      </c>
      <c r="M178" s="1097">
        <v>0</v>
      </c>
      <c r="N178" s="1097">
        <v>0</v>
      </c>
      <c r="O178" s="1097">
        <v>0</v>
      </c>
      <c r="P178" s="1097">
        <v>0</v>
      </c>
      <c r="Q178" s="1097">
        <v>0</v>
      </c>
      <c r="R178" s="1097">
        <v>0</v>
      </c>
      <c r="S178" s="1097">
        <v>0</v>
      </c>
      <c r="T178" s="1097">
        <v>0</v>
      </c>
      <c r="U178" s="1097">
        <v>0</v>
      </c>
      <c r="V178" s="1097">
        <v>0</v>
      </c>
      <c r="W178" s="1097">
        <v>0</v>
      </c>
      <c r="X178" s="1097">
        <v>0</v>
      </c>
      <c r="Y178" s="1097">
        <v>0</v>
      </c>
      <c r="Z178" s="1097">
        <v>0</v>
      </c>
      <c r="AA178" s="1096">
        <v>0</v>
      </c>
      <c r="AB178" s="1096">
        <v>0</v>
      </c>
      <c r="AC178" s="1096">
        <v>0</v>
      </c>
      <c r="AD178" s="1096">
        <v>0</v>
      </c>
      <c r="AE178" s="1096">
        <v>0</v>
      </c>
      <c r="AF178" s="1096">
        <v>0</v>
      </c>
      <c r="AG178" s="1096">
        <v>0</v>
      </c>
      <c r="AH178" s="1096">
        <v>0</v>
      </c>
      <c r="AI178" s="1096">
        <v>0</v>
      </c>
      <c r="AJ178" s="1096">
        <v>0</v>
      </c>
      <c r="AK178" s="1096">
        <v>0</v>
      </c>
      <c r="AL178" s="1096">
        <v>0</v>
      </c>
      <c r="AM178" s="1096">
        <v>0</v>
      </c>
      <c r="AN178" s="1096">
        <v>0</v>
      </c>
      <c r="AO178" s="1096">
        <v>0</v>
      </c>
      <c r="AP178" s="1096">
        <v>0</v>
      </c>
      <c r="AQ178" s="1096">
        <v>0</v>
      </c>
      <c r="AR178" s="1096">
        <v>0</v>
      </c>
      <c r="AS178" s="1096">
        <v>0</v>
      </c>
      <c r="AT178" s="1096">
        <v>0</v>
      </c>
      <c r="AU178" s="1096">
        <v>0</v>
      </c>
    </row>
    <row r="179" spans="1:47" s="1077" customFormat="1" ht="30" x14ac:dyDescent="0.25">
      <c r="A179" s="99">
        <v>529</v>
      </c>
      <c r="B179" s="1088"/>
      <c r="C179" s="1084">
        <v>529</v>
      </c>
      <c r="D179" s="1085" t="s">
        <v>272</v>
      </c>
      <c r="E179" s="1091">
        <v>0</v>
      </c>
      <c r="F179" s="1071">
        <v>0</v>
      </c>
      <c r="G179" s="1071">
        <v>0</v>
      </c>
      <c r="H179" s="1071">
        <v>0</v>
      </c>
      <c r="I179" s="1071">
        <v>0</v>
      </c>
      <c r="J179" s="1072">
        <v>0</v>
      </c>
      <c r="K179" s="1096">
        <v>0</v>
      </c>
      <c r="L179" s="1097">
        <v>0</v>
      </c>
      <c r="M179" s="1097">
        <v>0</v>
      </c>
      <c r="N179" s="1097">
        <v>0</v>
      </c>
      <c r="O179" s="1097">
        <v>0</v>
      </c>
      <c r="P179" s="1097">
        <v>0</v>
      </c>
      <c r="Q179" s="1097">
        <v>0</v>
      </c>
      <c r="R179" s="1097">
        <v>0</v>
      </c>
      <c r="S179" s="1097">
        <v>0</v>
      </c>
      <c r="T179" s="1097">
        <v>0</v>
      </c>
      <c r="U179" s="1097">
        <v>0</v>
      </c>
      <c r="V179" s="1097">
        <v>0</v>
      </c>
      <c r="W179" s="1097">
        <v>0</v>
      </c>
      <c r="X179" s="1097">
        <v>0</v>
      </c>
      <c r="Y179" s="1097">
        <v>0</v>
      </c>
      <c r="Z179" s="1097">
        <v>0</v>
      </c>
      <c r="AA179" s="1096">
        <v>0</v>
      </c>
      <c r="AB179" s="1096">
        <v>0</v>
      </c>
      <c r="AC179" s="1096">
        <v>0</v>
      </c>
      <c r="AD179" s="1096">
        <v>0</v>
      </c>
      <c r="AE179" s="1096">
        <v>0</v>
      </c>
      <c r="AF179" s="1096">
        <v>0</v>
      </c>
      <c r="AG179" s="1096">
        <v>0</v>
      </c>
      <c r="AH179" s="1096">
        <v>0</v>
      </c>
      <c r="AI179" s="1096">
        <v>0</v>
      </c>
      <c r="AJ179" s="1096">
        <v>0</v>
      </c>
      <c r="AK179" s="1096">
        <v>0</v>
      </c>
      <c r="AL179" s="1096">
        <v>0</v>
      </c>
      <c r="AM179" s="1096">
        <v>0</v>
      </c>
      <c r="AN179" s="1096">
        <v>0</v>
      </c>
      <c r="AO179" s="1096">
        <v>0</v>
      </c>
      <c r="AP179" s="1096">
        <v>0</v>
      </c>
      <c r="AQ179" s="1096">
        <v>0</v>
      </c>
      <c r="AR179" s="1096">
        <v>0</v>
      </c>
      <c r="AS179" s="1096">
        <v>0</v>
      </c>
      <c r="AT179" s="1096">
        <v>0</v>
      </c>
      <c r="AU179" s="1096">
        <v>0</v>
      </c>
    </row>
    <row r="180" spans="1:47" s="1077" customFormat="1" ht="30" x14ac:dyDescent="0.25">
      <c r="A180" s="99">
        <v>530</v>
      </c>
      <c r="B180" s="1088"/>
      <c r="C180" s="1084">
        <v>530</v>
      </c>
      <c r="D180" s="1085" t="s">
        <v>273</v>
      </c>
      <c r="E180" s="1091">
        <v>0</v>
      </c>
      <c r="F180" s="1071">
        <v>0</v>
      </c>
      <c r="G180" s="1071">
        <v>0</v>
      </c>
      <c r="H180" s="1071">
        <v>0</v>
      </c>
      <c r="I180" s="1071">
        <v>0</v>
      </c>
      <c r="J180" s="1072">
        <v>0</v>
      </c>
      <c r="K180" s="1096">
        <v>0</v>
      </c>
      <c r="L180" s="1097">
        <v>0</v>
      </c>
      <c r="M180" s="1097">
        <v>0</v>
      </c>
      <c r="N180" s="1097">
        <v>0</v>
      </c>
      <c r="O180" s="1097">
        <v>0</v>
      </c>
      <c r="P180" s="1097">
        <v>0</v>
      </c>
      <c r="Q180" s="1097">
        <v>0</v>
      </c>
      <c r="R180" s="1097">
        <v>0</v>
      </c>
      <c r="S180" s="1097">
        <v>0</v>
      </c>
      <c r="T180" s="1097">
        <v>0</v>
      </c>
      <c r="U180" s="1097">
        <v>0</v>
      </c>
      <c r="V180" s="1097">
        <v>0</v>
      </c>
      <c r="W180" s="1097">
        <v>0</v>
      </c>
      <c r="X180" s="1097">
        <v>0</v>
      </c>
      <c r="Y180" s="1097">
        <v>0</v>
      </c>
      <c r="Z180" s="1097">
        <v>0</v>
      </c>
      <c r="AA180" s="1096">
        <v>0</v>
      </c>
      <c r="AB180" s="1096">
        <v>0</v>
      </c>
      <c r="AC180" s="1096">
        <v>0</v>
      </c>
      <c r="AD180" s="1096">
        <v>0</v>
      </c>
      <c r="AE180" s="1096">
        <v>0</v>
      </c>
      <c r="AF180" s="1096">
        <v>0</v>
      </c>
      <c r="AG180" s="1096">
        <v>0</v>
      </c>
      <c r="AH180" s="1096">
        <v>0</v>
      </c>
      <c r="AI180" s="1096">
        <v>0</v>
      </c>
      <c r="AJ180" s="1096">
        <v>0</v>
      </c>
      <c r="AK180" s="1096">
        <v>0</v>
      </c>
      <c r="AL180" s="1096">
        <v>0</v>
      </c>
      <c r="AM180" s="1096">
        <v>0</v>
      </c>
      <c r="AN180" s="1096">
        <v>0</v>
      </c>
      <c r="AO180" s="1096">
        <v>0</v>
      </c>
      <c r="AP180" s="1096">
        <v>0</v>
      </c>
      <c r="AQ180" s="1096">
        <v>0</v>
      </c>
      <c r="AR180" s="1096">
        <v>0</v>
      </c>
      <c r="AS180" s="1096">
        <v>0</v>
      </c>
      <c r="AT180" s="1096">
        <v>0</v>
      </c>
      <c r="AU180" s="1096">
        <v>0</v>
      </c>
    </row>
    <row r="181" spans="1:47" s="1077" customFormat="1" ht="30" x14ac:dyDescent="0.25">
      <c r="A181" s="99">
        <v>531</v>
      </c>
      <c r="B181" s="1088"/>
      <c r="C181" s="1084">
        <v>531</v>
      </c>
      <c r="D181" s="1085" t="s">
        <v>274</v>
      </c>
      <c r="E181" s="1091">
        <v>0</v>
      </c>
      <c r="F181" s="1071">
        <v>0</v>
      </c>
      <c r="G181" s="1071">
        <v>0</v>
      </c>
      <c r="H181" s="1071">
        <v>0</v>
      </c>
      <c r="I181" s="1071">
        <v>0</v>
      </c>
      <c r="J181" s="1072">
        <v>0</v>
      </c>
      <c r="K181" s="1096">
        <v>0</v>
      </c>
      <c r="L181" s="1097">
        <v>0</v>
      </c>
      <c r="M181" s="1097">
        <v>0</v>
      </c>
      <c r="N181" s="1097">
        <v>0</v>
      </c>
      <c r="O181" s="1097">
        <v>0</v>
      </c>
      <c r="P181" s="1097">
        <v>0</v>
      </c>
      <c r="Q181" s="1097">
        <v>0</v>
      </c>
      <c r="R181" s="1097">
        <v>0</v>
      </c>
      <c r="S181" s="1097">
        <v>0</v>
      </c>
      <c r="T181" s="1097">
        <v>0</v>
      </c>
      <c r="U181" s="1097">
        <v>0</v>
      </c>
      <c r="V181" s="1097">
        <v>0</v>
      </c>
      <c r="W181" s="1097">
        <v>0</v>
      </c>
      <c r="X181" s="1097">
        <v>0</v>
      </c>
      <c r="Y181" s="1097">
        <v>0</v>
      </c>
      <c r="Z181" s="1097">
        <v>0</v>
      </c>
      <c r="AA181" s="1096">
        <v>0</v>
      </c>
      <c r="AB181" s="1096">
        <v>0</v>
      </c>
      <c r="AC181" s="1096">
        <v>0</v>
      </c>
      <c r="AD181" s="1096">
        <v>0</v>
      </c>
      <c r="AE181" s="1096">
        <v>0</v>
      </c>
      <c r="AF181" s="1096">
        <v>0</v>
      </c>
      <c r="AG181" s="1096">
        <v>0</v>
      </c>
      <c r="AH181" s="1096">
        <v>0</v>
      </c>
      <c r="AI181" s="1096">
        <v>0</v>
      </c>
      <c r="AJ181" s="1096">
        <v>0</v>
      </c>
      <c r="AK181" s="1096">
        <v>0</v>
      </c>
      <c r="AL181" s="1096">
        <v>0</v>
      </c>
      <c r="AM181" s="1096">
        <v>0</v>
      </c>
      <c r="AN181" s="1096">
        <v>0</v>
      </c>
      <c r="AO181" s="1096">
        <v>0</v>
      </c>
      <c r="AP181" s="1096">
        <v>0</v>
      </c>
      <c r="AQ181" s="1096">
        <v>0</v>
      </c>
      <c r="AR181" s="1096">
        <v>0</v>
      </c>
      <c r="AS181" s="1096">
        <v>0</v>
      </c>
      <c r="AT181" s="1096">
        <v>0</v>
      </c>
      <c r="AU181" s="1096">
        <v>0</v>
      </c>
    </row>
    <row r="182" spans="1:47" s="1077" customFormat="1" x14ac:dyDescent="0.25">
      <c r="A182" s="99">
        <v>532</v>
      </c>
      <c r="B182" s="1088">
        <v>532</v>
      </c>
      <c r="C182" s="1084">
        <v>532</v>
      </c>
      <c r="D182" s="1085" t="s">
        <v>361</v>
      </c>
      <c r="E182" s="1091">
        <v>0</v>
      </c>
      <c r="F182" s="1071">
        <v>0</v>
      </c>
      <c r="G182" s="1071">
        <v>8060618</v>
      </c>
      <c r="H182" s="1071">
        <v>0</v>
      </c>
      <c r="I182" s="1071">
        <v>0</v>
      </c>
      <c r="J182" s="1072">
        <v>349452</v>
      </c>
      <c r="K182" s="1096">
        <v>2458752</v>
      </c>
      <c r="L182" s="1097">
        <v>0</v>
      </c>
      <c r="M182" s="1097">
        <v>0</v>
      </c>
      <c r="N182" s="1097">
        <v>0</v>
      </c>
      <c r="O182" s="1097">
        <v>0</v>
      </c>
      <c r="P182" s="1097">
        <v>0</v>
      </c>
      <c r="Q182" s="1097">
        <v>0</v>
      </c>
      <c r="R182" s="1097">
        <v>0</v>
      </c>
      <c r="S182" s="1097">
        <v>16879</v>
      </c>
      <c r="T182" s="1097">
        <v>0</v>
      </c>
      <c r="U182" s="1097">
        <v>73560</v>
      </c>
      <c r="V182" s="1097">
        <v>1449524</v>
      </c>
      <c r="W182" s="1097">
        <v>0</v>
      </c>
      <c r="X182" s="1097">
        <v>224520</v>
      </c>
      <c r="Y182" s="1097">
        <v>0</v>
      </c>
      <c r="Z182" s="1097">
        <v>10697</v>
      </c>
      <c r="AA182" s="1096">
        <v>362881</v>
      </c>
      <c r="AB182" s="1096">
        <v>0</v>
      </c>
      <c r="AC182" s="1096">
        <v>116441</v>
      </c>
      <c r="AD182" s="1096">
        <v>55528</v>
      </c>
      <c r="AE182" s="1096">
        <v>629163</v>
      </c>
      <c r="AF182" s="1096">
        <v>65443783</v>
      </c>
      <c r="AG182" s="1096">
        <v>0</v>
      </c>
      <c r="AH182" s="1096">
        <v>11618</v>
      </c>
      <c r="AI182" s="1096">
        <v>0</v>
      </c>
      <c r="AJ182" s="1096">
        <v>7174126</v>
      </c>
      <c r="AK182" s="1096">
        <v>1837366</v>
      </c>
      <c r="AL182" s="1096">
        <v>7075922</v>
      </c>
      <c r="AM182" s="1096">
        <v>278057</v>
      </c>
      <c r="AN182" s="1096">
        <v>33264</v>
      </c>
      <c r="AO182" s="1096">
        <v>60186</v>
      </c>
      <c r="AP182" s="1096">
        <v>6033</v>
      </c>
      <c r="AQ182" s="1096">
        <v>59964</v>
      </c>
      <c r="AR182" s="1096">
        <v>2462324</v>
      </c>
      <c r="AS182" s="1096">
        <v>0</v>
      </c>
      <c r="AT182" s="1096">
        <v>0</v>
      </c>
      <c r="AU182" s="1096">
        <v>83789</v>
      </c>
    </row>
    <row r="183" spans="1:47" s="1077" customFormat="1" x14ac:dyDescent="0.25">
      <c r="A183" s="99">
        <v>533</v>
      </c>
      <c r="B183" s="1088">
        <v>533</v>
      </c>
      <c r="C183" s="1084">
        <v>533</v>
      </c>
      <c r="D183" s="1085" t="s">
        <v>362</v>
      </c>
      <c r="E183" s="1091">
        <v>0</v>
      </c>
      <c r="F183" s="1071">
        <v>0</v>
      </c>
      <c r="G183" s="1071">
        <v>0</v>
      </c>
      <c r="H183" s="1071">
        <v>0</v>
      </c>
      <c r="I183" s="1071">
        <v>0</v>
      </c>
      <c r="J183" s="1072">
        <v>0</v>
      </c>
      <c r="K183" s="1096">
        <v>0</v>
      </c>
      <c r="L183" s="1097">
        <v>0</v>
      </c>
      <c r="M183" s="1097">
        <v>0</v>
      </c>
      <c r="N183" s="1097">
        <v>0</v>
      </c>
      <c r="O183" s="1097">
        <v>0</v>
      </c>
      <c r="P183" s="1097">
        <v>0</v>
      </c>
      <c r="Q183" s="1097">
        <v>0</v>
      </c>
      <c r="R183" s="1097">
        <v>0</v>
      </c>
      <c r="S183" s="1097">
        <v>0</v>
      </c>
      <c r="T183" s="1097">
        <v>0</v>
      </c>
      <c r="U183" s="1097">
        <v>0</v>
      </c>
      <c r="V183" s="1097">
        <v>0</v>
      </c>
      <c r="W183" s="1097">
        <v>0</v>
      </c>
      <c r="X183" s="1097">
        <v>0</v>
      </c>
      <c r="Y183" s="1097">
        <v>0</v>
      </c>
      <c r="Z183" s="1097">
        <v>0</v>
      </c>
      <c r="AA183" s="1096">
        <v>0</v>
      </c>
      <c r="AB183" s="1096">
        <v>0</v>
      </c>
      <c r="AC183" s="1096">
        <v>0</v>
      </c>
      <c r="AD183" s="1096">
        <v>0</v>
      </c>
      <c r="AE183" s="1096">
        <v>0</v>
      </c>
      <c r="AF183" s="1096">
        <v>0</v>
      </c>
      <c r="AG183" s="1096">
        <v>0</v>
      </c>
      <c r="AH183" s="1096">
        <v>0</v>
      </c>
      <c r="AI183" s="1096">
        <v>0</v>
      </c>
      <c r="AJ183" s="1096">
        <v>0</v>
      </c>
      <c r="AK183" s="1096">
        <v>0</v>
      </c>
      <c r="AL183" s="1096">
        <v>0</v>
      </c>
      <c r="AM183" s="1096">
        <v>0</v>
      </c>
      <c r="AN183" s="1096">
        <v>0</v>
      </c>
      <c r="AO183" s="1096">
        <v>0</v>
      </c>
      <c r="AP183" s="1096">
        <v>0</v>
      </c>
      <c r="AQ183" s="1096">
        <v>0</v>
      </c>
      <c r="AR183" s="1096">
        <v>0</v>
      </c>
      <c r="AS183" s="1096">
        <v>0</v>
      </c>
      <c r="AT183" s="1096">
        <v>0</v>
      </c>
      <c r="AU183" s="1096">
        <v>0</v>
      </c>
    </row>
    <row r="184" spans="1:47" s="1077" customFormat="1" ht="45" x14ac:dyDescent="0.25">
      <c r="A184" s="99">
        <v>534</v>
      </c>
      <c r="B184" s="1088"/>
      <c r="C184" s="1084">
        <v>534</v>
      </c>
      <c r="D184" s="1085" t="s">
        <v>275</v>
      </c>
      <c r="E184" s="1091">
        <v>0</v>
      </c>
      <c r="F184" s="1071">
        <v>0</v>
      </c>
      <c r="G184" s="1071">
        <v>0</v>
      </c>
      <c r="H184" s="1071">
        <v>0</v>
      </c>
      <c r="I184" s="1071">
        <v>0</v>
      </c>
      <c r="J184" s="1072">
        <v>0</v>
      </c>
      <c r="K184" s="1096">
        <v>0</v>
      </c>
      <c r="L184" s="1097">
        <v>0</v>
      </c>
      <c r="M184" s="1097">
        <v>0</v>
      </c>
      <c r="N184" s="1097">
        <v>0</v>
      </c>
      <c r="O184" s="1097">
        <v>0</v>
      </c>
      <c r="P184" s="1097">
        <v>0</v>
      </c>
      <c r="Q184" s="1097">
        <v>0</v>
      </c>
      <c r="R184" s="1097">
        <v>0</v>
      </c>
      <c r="S184" s="1097">
        <v>0</v>
      </c>
      <c r="T184" s="1097">
        <v>0</v>
      </c>
      <c r="U184" s="1097">
        <v>0</v>
      </c>
      <c r="V184" s="1097">
        <v>0</v>
      </c>
      <c r="W184" s="1097">
        <v>0</v>
      </c>
      <c r="X184" s="1097">
        <v>0</v>
      </c>
      <c r="Y184" s="1097">
        <v>0</v>
      </c>
      <c r="Z184" s="1097">
        <v>0</v>
      </c>
      <c r="AA184" s="1096">
        <v>0</v>
      </c>
      <c r="AB184" s="1096">
        <v>0</v>
      </c>
      <c r="AC184" s="1096">
        <v>0</v>
      </c>
      <c r="AD184" s="1096">
        <v>0</v>
      </c>
      <c r="AE184" s="1096">
        <v>0</v>
      </c>
      <c r="AF184" s="1096">
        <v>0</v>
      </c>
      <c r="AG184" s="1096">
        <v>0</v>
      </c>
      <c r="AH184" s="1096">
        <v>0</v>
      </c>
      <c r="AI184" s="1096">
        <v>0</v>
      </c>
      <c r="AJ184" s="1096">
        <v>0</v>
      </c>
      <c r="AK184" s="1096">
        <v>0</v>
      </c>
      <c r="AL184" s="1096">
        <v>0</v>
      </c>
      <c r="AM184" s="1096">
        <v>0</v>
      </c>
      <c r="AN184" s="1096">
        <v>0</v>
      </c>
      <c r="AO184" s="1096">
        <v>0</v>
      </c>
      <c r="AP184" s="1096">
        <v>0</v>
      </c>
      <c r="AQ184" s="1096">
        <v>0</v>
      </c>
      <c r="AR184" s="1096">
        <v>0</v>
      </c>
      <c r="AS184" s="1096">
        <v>0</v>
      </c>
      <c r="AT184" s="1096">
        <v>0</v>
      </c>
      <c r="AU184" s="1096">
        <v>0</v>
      </c>
    </row>
    <row r="185" spans="1:47" s="1077" customFormat="1" ht="30" x14ac:dyDescent="0.25">
      <c r="A185" s="99">
        <v>535</v>
      </c>
      <c r="B185" s="1088">
        <v>535</v>
      </c>
      <c r="C185" s="1084">
        <v>535</v>
      </c>
      <c r="D185" s="1085" t="s">
        <v>253</v>
      </c>
      <c r="E185" s="1091">
        <v>0</v>
      </c>
      <c r="F185" s="1071">
        <v>0</v>
      </c>
      <c r="G185" s="1071">
        <v>0</v>
      </c>
      <c r="H185" s="1071">
        <v>0</v>
      </c>
      <c r="I185" s="1071">
        <v>0</v>
      </c>
      <c r="J185" s="1072">
        <v>0</v>
      </c>
      <c r="K185" s="1096">
        <v>0</v>
      </c>
      <c r="L185" s="1097">
        <v>0</v>
      </c>
      <c r="M185" s="1097">
        <v>0</v>
      </c>
      <c r="N185" s="1097">
        <v>0</v>
      </c>
      <c r="O185" s="1097">
        <v>0</v>
      </c>
      <c r="P185" s="1097">
        <v>0</v>
      </c>
      <c r="Q185" s="1097">
        <v>0</v>
      </c>
      <c r="R185" s="1097">
        <v>0</v>
      </c>
      <c r="S185" s="1097">
        <v>0</v>
      </c>
      <c r="T185" s="1097">
        <v>0</v>
      </c>
      <c r="U185" s="1097">
        <v>0</v>
      </c>
      <c r="V185" s="1097">
        <v>0</v>
      </c>
      <c r="W185" s="1097">
        <v>0</v>
      </c>
      <c r="X185" s="1097">
        <v>0</v>
      </c>
      <c r="Y185" s="1097">
        <v>0</v>
      </c>
      <c r="Z185" s="1097">
        <v>0</v>
      </c>
      <c r="AA185" s="1096">
        <v>0</v>
      </c>
      <c r="AB185" s="1096">
        <v>0</v>
      </c>
      <c r="AC185" s="1096">
        <v>0</v>
      </c>
      <c r="AD185" s="1096">
        <v>0</v>
      </c>
      <c r="AE185" s="1096">
        <v>0</v>
      </c>
      <c r="AF185" s="1096">
        <v>0</v>
      </c>
      <c r="AG185" s="1096">
        <v>0</v>
      </c>
      <c r="AH185" s="1096">
        <v>0</v>
      </c>
      <c r="AI185" s="1096">
        <v>0</v>
      </c>
      <c r="AJ185" s="1096">
        <v>0</v>
      </c>
      <c r="AK185" s="1096">
        <v>0</v>
      </c>
      <c r="AL185" s="1096">
        <v>0</v>
      </c>
      <c r="AM185" s="1096">
        <v>0</v>
      </c>
      <c r="AN185" s="1096">
        <v>0</v>
      </c>
      <c r="AO185" s="1096">
        <v>0</v>
      </c>
      <c r="AP185" s="1096">
        <v>0</v>
      </c>
      <c r="AQ185" s="1096">
        <v>0</v>
      </c>
      <c r="AR185" s="1096">
        <v>0</v>
      </c>
      <c r="AS185" s="1096">
        <v>0</v>
      </c>
      <c r="AT185" s="1096">
        <v>0</v>
      </c>
      <c r="AU185" s="1096">
        <v>0</v>
      </c>
    </row>
    <row r="186" spans="1:47" s="1077" customFormat="1" ht="30" x14ac:dyDescent="0.25">
      <c r="A186" s="99">
        <v>536</v>
      </c>
      <c r="B186" s="1088">
        <v>536</v>
      </c>
      <c r="C186" s="1084">
        <v>536</v>
      </c>
      <c r="D186" s="1085" t="s">
        <v>199</v>
      </c>
      <c r="E186" s="1091">
        <v>0</v>
      </c>
      <c r="F186" s="1071">
        <v>0</v>
      </c>
      <c r="G186" s="1071">
        <v>0</v>
      </c>
      <c r="H186" s="1071">
        <v>0</v>
      </c>
      <c r="I186" s="1071">
        <v>0</v>
      </c>
      <c r="J186" s="1072">
        <v>4200</v>
      </c>
      <c r="K186" s="1096">
        <v>0</v>
      </c>
      <c r="L186" s="1097">
        <v>0</v>
      </c>
      <c r="M186" s="1097">
        <v>0</v>
      </c>
      <c r="N186" s="1097">
        <v>0</v>
      </c>
      <c r="O186" s="1097">
        <v>0</v>
      </c>
      <c r="P186" s="1097">
        <v>0</v>
      </c>
      <c r="Q186" s="1097">
        <v>0</v>
      </c>
      <c r="R186" s="1097">
        <v>0</v>
      </c>
      <c r="S186" s="1097">
        <v>0</v>
      </c>
      <c r="T186" s="1097">
        <v>0</v>
      </c>
      <c r="U186" s="1097">
        <v>0</v>
      </c>
      <c r="V186" s="1097">
        <v>0</v>
      </c>
      <c r="W186" s="1097">
        <v>0</v>
      </c>
      <c r="X186" s="1097">
        <v>0</v>
      </c>
      <c r="Y186" s="1097">
        <v>0</v>
      </c>
      <c r="Z186" s="1097">
        <v>0</v>
      </c>
      <c r="AA186" s="1096">
        <v>0</v>
      </c>
      <c r="AB186" s="1096">
        <v>0</v>
      </c>
      <c r="AC186" s="1096">
        <v>0</v>
      </c>
      <c r="AD186" s="1096">
        <v>0</v>
      </c>
      <c r="AE186" s="1096">
        <v>0</v>
      </c>
      <c r="AF186" s="1096">
        <v>0</v>
      </c>
      <c r="AG186" s="1096">
        <v>0</v>
      </c>
      <c r="AH186" s="1096">
        <v>0</v>
      </c>
      <c r="AI186" s="1096">
        <v>0</v>
      </c>
      <c r="AJ186" s="1096">
        <v>992041</v>
      </c>
      <c r="AK186" s="1096">
        <v>1707238</v>
      </c>
      <c r="AL186" s="1096">
        <v>0</v>
      </c>
      <c r="AM186" s="1096">
        <v>0</v>
      </c>
      <c r="AN186" s="1096">
        <v>18361</v>
      </c>
      <c r="AO186" s="1096">
        <v>100000</v>
      </c>
      <c r="AP186" s="1096">
        <v>0</v>
      </c>
      <c r="AQ186" s="1096">
        <v>0</v>
      </c>
      <c r="AR186" s="1096">
        <v>0</v>
      </c>
      <c r="AS186" s="1096">
        <v>0</v>
      </c>
      <c r="AT186" s="1096">
        <v>0</v>
      </c>
      <c r="AU186" s="1096">
        <v>115600</v>
      </c>
    </row>
    <row r="187" spans="1:47" s="1077" customFormat="1" x14ac:dyDescent="0.25">
      <c r="A187" s="99">
        <v>537</v>
      </c>
      <c r="B187" s="1088"/>
      <c r="C187" s="1098">
        <v>537</v>
      </c>
      <c r="D187" s="1098" t="s">
        <v>295</v>
      </c>
      <c r="E187" s="1091">
        <v>0</v>
      </c>
      <c r="F187" s="1071">
        <v>0</v>
      </c>
      <c r="G187" s="1071">
        <v>0</v>
      </c>
      <c r="H187" s="1071">
        <v>0</v>
      </c>
      <c r="I187" s="1071">
        <v>0</v>
      </c>
      <c r="J187" s="1072">
        <v>0</v>
      </c>
      <c r="K187" s="1096">
        <v>0</v>
      </c>
      <c r="L187" s="1097">
        <v>0</v>
      </c>
      <c r="M187" s="1097">
        <v>0</v>
      </c>
      <c r="N187" s="1097">
        <v>0</v>
      </c>
      <c r="O187" s="1097">
        <v>0</v>
      </c>
      <c r="P187" s="1097">
        <v>0</v>
      </c>
      <c r="Q187" s="1097">
        <v>0</v>
      </c>
      <c r="R187" s="1097">
        <v>0</v>
      </c>
      <c r="S187" s="1097">
        <v>0</v>
      </c>
      <c r="T187" s="1097">
        <v>0</v>
      </c>
      <c r="U187" s="1097">
        <v>0</v>
      </c>
      <c r="V187" s="1097">
        <v>0</v>
      </c>
      <c r="W187" s="1097">
        <v>0</v>
      </c>
      <c r="X187" s="1097">
        <v>0</v>
      </c>
      <c r="Y187" s="1097">
        <v>0</v>
      </c>
      <c r="Z187" s="1097">
        <v>0</v>
      </c>
      <c r="AA187" s="1096">
        <v>0</v>
      </c>
      <c r="AB187" s="1096">
        <v>0</v>
      </c>
      <c r="AC187" s="1096">
        <v>0</v>
      </c>
      <c r="AD187" s="1096">
        <v>0</v>
      </c>
      <c r="AE187" s="1096">
        <v>0</v>
      </c>
      <c r="AF187" s="1096">
        <v>0</v>
      </c>
      <c r="AG187" s="1096">
        <v>0</v>
      </c>
      <c r="AH187" s="1096">
        <v>0</v>
      </c>
      <c r="AI187" s="1096">
        <v>0</v>
      </c>
      <c r="AJ187" s="1096">
        <v>0</v>
      </c>
      <c r="AK187" s="1096">
        <v>0</v>
      </c>
      <c r="AL187" s="1096">
        <v>0</v>
      </c>
      <c r="AM187" s="1096">
        <v>0</v>
      </c>
      <c r="AN187" s="1096">
        <v>0</v>
      </c>
      <c r="AO187" s="1096">
        <v>0</v>
      </c>
      <c r="AP187" s="1096">
        <v>0</v>
      </c>
      <c r="AQ187" s="1096">
        <v>0</v>
      </c>
      <c r="AR187" s="1096">
        <v>0</v>
      </c>
      <c r="AS187" s="1096">
        <v>0</v>
      </c>
      <c r="AT187" s="1096">
        <v>0</v>
      </c>
      <c r="AU187" s="1096">
        <v>0</v>
      </c>
    </row>
    <row r="188" spans="1:47" s="1077" customFormat="1" x14ac:dyDescent="0.25">
      <c r="A188" s="99">
        <v>538</v>
      </c>
      <c r="B188" s="1088"/>
      <c r="C188" s="1098">
        <v>538</v>
      </c>
      <c r="D188" s="1098" t="s">
        <v>294</v>
      </c>
      <c r="E188" s="1091">
        <v>0</v>
      </c>
      <c r="F188" s="1071">
        <v>0</v>
      </c>
      <c r="G188" s="1071">
        <v>0</v>
      </c>
      <c r="H188" s="1071">
        <v>0</v>
      </c>
      <c r="I188" s="1071">
        <v>0</v>
      </c>
      <c r="J188" s="1072">
        <v>0</v>
      </c>
      <c r="K188" s="1096">
        <v>0</v>
      </c>
      <c r="L188" s="1097">
        <v>0</v>
      </c>
      <c r="M188" s="1097">
        <v>0</v>
      </c>
      <c r="N188" s="1097">
        <v>0</v>
      </c>
      <c r="O188" s="1097">
        <v>0</v>
      </c>
      <c r="P188" s="1097">
        <v>0</v>
      </c>
      <c r="Q188" s="1097">
        <v>0</v>
      </c>
      <c r="R188" s="1097">
        <v>0</v>
      </c>
      <c r="S188" s="1097">
        <v>0</v>
      </c>
      <c r="T188" s="1097">
        <v>0</v>
      </c>
      <c r="U188" s="1097">
        <v>0</v>
      </c>
      <c r="V188" s="1097">
        <v>0</v>
      </c>
      <c r="W188" s="1097">
        <v>0</v>
      </c>
      <c r="X188" s="1097">
        <v>0</v>
      </c>
      <c r="Y188" s="1097">
        <v>0</v>
      </c>
      <c r="Z188" s="1097">
        <v>0</v>
      </c>
      <c r="AA188" s="1096">
        <v>0</v>
      </c>
      <c r="AB188" s="1096">
        <v>0</v>
      </c>
      <c r="AC188" s="1096">
        <v>0</v>
      </c>
      <c r="AD188" s="1096">
        <v>0</v>
      </c>
      <c r="AE188" s="1096">
        <v>0</v>
      </c>
      <c r="AF188" s="1096">
        <v>0</v>
      </c>
      <c r="AG188" s="1096">
        <v>0</v>
      </c>
      <c r="AH188" s="1096">
        <v>0</v>
      </c>
      <c r="AI188" s="1096">
        <v>0</v>
      </c>
      <c r="AJ188" s="1096">
        <v>0</v>
      </c>
      <c r="AK188" s="1096">
        <v>0</v>
      </c>
      <c r="AL188" s="1096">
        <v>0</v>
      </c>
      <c r="AM188" s="1096">
        <v>0</v>
      </c>
      <c r="AN188" s="1096">
        <v>0</v>
      </c>
      <c r="AO188" s="1096">
        <v>0</v>
      </c>
      <c r="AP188" s="1096">
        <v>0</v>
      </c>
      <c r="AQ188" s="1096">
        <v>0</v>
      </c>
      <c r="AR188" s="1096">
        <v>0</v>
      </c>
      <c r="AS188" s="1096">
        <v>0</v>
      </c>
      <c r="AT188" s="1096">
        <v>0</v>
      </c>
      <c r="AU188" s="1096">
        <v>0</v>
      </c>
    </row>
    <row r="189" spans="1:47" s="1077" customFormat="1" x14ac:dyDescent="0.25">
      <c r="A189" s="99">
        <v>539</v>
      </c>
      <c r="B189" s="1088"/>
      <c r="C189" s="1098">
        <v>539</v>
      </c>
      <c r="D189" s="1098" t="s">
        <v>1517</v>
      </c>
      <c r="E189" s="1091">
        <v>0</v>
      </c>
      <c r="F189" s="1071">
        <v>0</v>
      </c>
      <c r="G189" s="1071">
        <v>0</v>
      </c>
      <c r="H189" s="1071">
        <v>0</v>
      </c>
      <c r="I189" s="1071">
        <v>0</v>
      </c>
      <c r="J189" s="1072">
        <v>0</v>
      </c>
      <c r="K189" s="1096">
        <v>0</v>
      </c>
      <c r="L189" s="1097">
        <v>0</v>
      </c>
      <c r="M189" s="1097">
        <v>0</v>
      </c>
      <c r="N189" s="1097">
        <v>0</v>
      </c>
      <c r="O189" s="1097">
        <v>0</v>
      </c>
      <c r="P189" s="1097">
        <v>0</v>
      </c>
      <c r="Q189" s="1097">
        <v>0</v>
      </c>
      <c r="R189" s="1097">
        <v>0</v>
      </c>
      <c r="S189" s="1097">
        <v>0</v>
      </c>
      <c r="T189" s="1097">
        <v>0</v>
      </c>
      <c r="U189" s="1097">
        <v>0</v>
      </c>
      <c r="V189" s="1097">
        <v>0</v>
      </c>
      <c r="W189" s="1097">
        <v>0</v>
      </c>
      <c r="X189" s="1097">
        <v>0</v>
      </c>
      <c r="Y189" s="1097">
        <v>0</v>
      </c>
      <c r="Z189" s="1097">
        <v>0</v>
      </c>
      <c r="AA189" s="1096">
        <v>0</v>
      </c>
      <c r="AB189" s="1096">
        <v>0</v>
      </c>
      <c r="AC189" s="1096">
        <v>0</v>
      </c>
      <c r="AD189" s="1096">
        <v>0</v>
      </c>
      <c r="AE189" s="1096">
        <v>0</v>
      </c>
      <c r="AF189" s="1096">
        <v>0</v>
      </c>
      <c r="AG189" s="1096">
        <v>0</v>
      </c>
      <c r="AH189" s="1096">
        <v>0</v>
      </c>
      <c r="AI189" s="1096">
        <v>0</v>
      </c>
      <c r="AJ189" s="1096">
        <v>0</v>
      </c>
      <c r="AK189" s="1096">
        <v>0</v>
      </c>
      <c r="AL189" s="1096">
        <v>0</v>
      </c>
      <c r="AM189" s="1096">
        <v>0</v>
      </c>
      <c r="AN189" s="1096">
        <v>0</v>
      </c>
      <c r="AO189" s="1096">
        <v>0</v>
      </c>
      <c r="AP189" s="1096">
        <v>0</v>
      </c>
      <c r="AQ189" s="1096">
        <v>0</v>
      </c>
      <c r="AR189" s="1096">
        <v>0</v>
      </c>
      <c r="AS189" s="1096">
        <v>0</v>
      </c>
      <c r="AT189" s="1096">
        <v>0</v>
      </c>
      <c r="AU189" s="1096">
        <v>0</v>
      </c>
    </row>
    <row r="190" spans="1:47" s="1077" customFormat="1" x14ac:dyDescent="0.25">
      <c r="A190" s="99">
        <v>540</v>
      </c>
      <c r="B190" s="1088">
        <v>540</v>
      </c>
      <c r="C190" s="1098">
        <v>540</v>
      </c>
      <c r="D190" s="1098" t="s">
        <v>267</v>
      </c>
      <c r="E190" s="1091">
        <v>0</v>
      </c>
      <c r="F190" s="1071">
        <v>0</v>
      </c>
      <c r="G190" s="1071">
        <v>0</v>
      </c>
      <c r="H190" s="1071">
        <v>0</v>
      </c>
      <c r="I190" s="1071">
        <v>0</v>
      </c>
      <c r="J190" s="1072">
        <v>250</v>
      </c>
      <c r="K190" s="1096">
        <v>0</v>
      </c>
      <c r="L190" s="1097">
        <v>0</v>
      </c>
      <c r="M190" s="1097">
        <v>0</v>
      </c>
      <c r="N190" s="1097">
        <v>0</v>
      </c>
      <c r="O190" s="1097">
        <v>0</v>
      </c>
      <c r="P190" s="1097">
        <v>0</v>
      </c>
      <c r="Q190" s="1097">
        <v>0</v>
      </c>
      <c r="R190" s="1097">
        <v>0</v>
      </c>
      <c r="S190" s="1097">
        <v>0</v>
      </c>
      <c r="T190" s="1097">
        <v>0</v>
      </c>
      <c r="U190" s="1097">
        <v>0</v>
      </c>
      <c r="V190" s="1097">
        <v>0</v>
      </c>
      <c r="W190" s="1097">
        <v>0</v>
      </c>
      <c r="X190" s="1097">
        <v>44096</v>
      </c>
      <c r="Y190" s="1097">
        <v>0</v>
      </c>
      <c r="Z190" s="1097">
        <v>0</v>
      </c>
      <c r="AA190" s="1096">
        <v>0</v>
      </c>
      <c r="AB190" s="1096">
        <v>0</v>
      </c>
      <c r="AC190" s="1096">
        <v>0</v>
      </c>
      <c r="AD190" s="1096">
        <v>0</v>
      </c>
      <c r="AE190" s="1096">
        <v>0</v>
      </c>
      <c r="AF190" s="1096">
        <v>0</v>
      </c>
      <c r="AG190" s="1096">
        <v>0</v>
      </c>
      <c r="AH190" s="1096">
        <v>0</v>
      </c>
      <c r="AI190" s="1096">
        <v>0</v>
      </c>
      <c r="AJ190" s="1096">
        <v>1713537</v>
      </c>
      <c r="AK190" s="1096">
        <v>1932989</v>
      </c>
      <c r="AL190" s="1096">
        <v>0</v>
      </c>
      <c r="AM190" s="1096">
        <v>0</v>
      </c>
      <c r="AN190" s="1096">
        <v>0</v>
      </c>
      <c r="AO190" s="1096">
        <v>2625</v>
      </c>
      <c r="AP190" s="1096">
        <v>0</v>
      </c>
      <c r="AQ190" s="1096">
        <v>0</v>
      </c>
      <c r="AR190" s="1096">
        <v>0</v>
      </c>
      <c r="AS190" s="1096">
        <v>0</v>
      </c>
      <c r="AT190" s="1096">
        <v>0</v>
      </c>
      <c r="AU190" s="1096">
        <v>0</v>
      </c>
    </row>
    <row r="191" spans="1:47" s="1077" customFormat="1" x14ac:dyDescent="0.25">
      <c r="A191" s="99">
        <v>541</v>
      </c>
      <c r="B191" s="99"/>
      <c r="C191" s="1098">
        <v>541</v>
      </c>
      <c r="D191" s="1098" t="s">
        <v>349</v>
      </c>
      <c r="E191" s="1091">
        <v>0</v>
      </c>
      <c r="F191" s="1071">
        <v>0</v>
      </c>
      <c r="G191" s="1071">
        <v>0</v>
      </c>
      <c r="H191" s="1071">
        <v>0</v>
      </c>
      <c r="I191" s="1071">
        <v>0</v>
      </c>
      <c r="J191" s="1072">
        <v>0</v>
      </c>
      <c r="K191" s="1096">
        <v>0</v>
      </c>
      <c r="L191" s="1097">
        <v>0</v>
      </c>
      <c r="M191" s="1097">
        <v>0</v>
      </c>
      <c r="N191" s="1097">
        <v>0</v>
      </c>
      <c r="O191" s="1097">
        <v>0</v>
      </c>
      <c r="P191" s="1097">
        <v>0</v>
      </c>
      <c r="Q191" s="1097">
        <v>0</v>
      </c>
      <c r="R191" s="1097">
        <v>0</v>
      </c>
      <c r="S191" s="1097">
        <v>0</v>
      </c>
      <c r="T191" s="1097">
        <v>0</v>
      </c>
      <c r="U191" s="1097">
        <v>0</v>
      </c>
      <c r="V191" s="1097">
        <v>0</v>
      </c>
      <c r="W191" s="1097">
        <v>0</v>
      </c>
      <c r="X191" s="1097">
        <v>0</v>
      </c>
      <c r="Y191" s="1097">
        <v>0</v>
      </c>
      <c r="Z191" s="1097">
        <v>0</v>
      </c>
      <c r="AA191" s="1096">
        <v>0</v>
      </c>
      <c r="AB191" s="1096">
        <v>0</v>
      </c>
      <c r="AC191" s="1096">
        <v>0</v>
      </c>
      <c r="AD191" s="1096">
        <v>0</v>
      </c>
      <c r="AE191" s="1096">
        <v>0</v>
      </c>
      <c r="AF191" s="1096">
        <v>0</v>
      </c>
      <c r="AG191" s="1096">
        <v>0</v>
      </c>
      <c r="AH191" s="1096">
        <v>0</v>
      </c>
      <c r="AI191" s="1096">
        <v>0</v>
      </c>
      <c r="AJ191" s="1096">
        <v>0</v>
      </c>
      <c r="AK191" s="1096">
        <v>0</v>
      </c>
      <c r="AL191" s="1096">
        <v>0</v>
      </c>
      <c r="AM191" s="1096">
        <v>0</v>
      </c>
      <c r="AN191" s="1096">
        <v>0</v>
      </c>
      <c r="AO191" s="1096">
        <v>0</v>
      </c>
      <c r="AP191" s="1096">
        <v>0</v>
      </c>
      <c r="AQ191" s="1096">
        <v>0</v>
      </c>
      <c r="AR191" s="1096">
        <v>0</v>
      </c>
      <c r="AS191" s="1096">
        <v>0</v>
      </c>
      <c r="AT191" s="1096">
        <v>0</v>
      </c>
      <c r="AU191" s="1096">
        <v>0</v>
      </c>
    </row>
    <row r="192" spans="1:47" s="1077" customFormat="1" x14ac:dyDescent="0.25">
      <c r="A192" s="99">
        <v>542</v>
      </c>
      <c r="B192" s="1088"/>
      <c r="C192" s="1098">
        <v>542</v>
      </c>
      <c r="D192" s="1098" t="s">
        <v>577</v>
      </c>
      <c r="E192" s="1091">
        <v>0</v>
      </c>
      <c r="F192" s="1071">
        <v>0</v>
      </c>
      <c r="G192" s="1071">
        <v>0</v>
      </c>
      <c r="H192" s="1071">
        <v>0</v>
      </c>
      <c r="I192" s="1071">
        <v>0</v>
      </c>
      <c r="J192" s="1072">
        <v>0</v>
      </c>
      <c r="K192" s="1096">
        <v>0</v>
      </c>
      <c r="L192" s="1097">
        <v>0</v>
      </c>
      <c r="M192" s="1097">
        <v>0</v>
      </c>
      <c r="N192" s="1097">
        <v>0</v>
      </c>
      <c r="O192" s="1097">
        <v>0</v>
      </c>
      <c r="P192" s="1097">
        <v>0</v>
      </c>
      <c r="Q192" s="1097">
        <v>0</v>
      </c>
      <c r="R192" s="1097">
        <v>0</v>
      </c>
      <c r="S192" s="1097">
        <v>0</v>
      </c>
      <c r="T192" s="1097">
        <v>0</v>
      </c>
      <c r="U192" s="1097">
        <v>0</v>
      </c>
      <c r="V192" s="1097">
        <v>0</v>
      </c>
      <c r="W192" s="1097">
        <v>0</v>
      </c>
      <c r="X192" s="1097">
        <v>0</v>
      </c>
      <c r="Y192" s="1097">
        <v>0</v>
      </c>
      <c r="Z192" s="1097">
        <v>0</v>
      </c>
      <c r="AA192" s="1096">
        <v>0</v>
      </c>
      <c r="AB192" s="1096">
        <v>0</v>
      </c>
      <c r="AC192" s="1096">
        <v>0</v>
      </c>
      <c r="AD192" s="1096">
        <v>0</v>
      </c>
      <c r="AE192" s="1096">
        <v>0</v>
      </c>
      <c r="AF192" s="1096">
        <v>0</v>
      </c>
      <c r="AG192" s="1096">
        <v>0</v>
      </c>
      <c r="AH192" s="1096">
        <v>0</v>
      </c>
      <c r="AI192" s="1096">
        <v>0</v>
      </c>
      <c r="AJ192" s="1096">
        <v>0</v>
      </c>
      <c r="AK192" s="1096">
        <v>0</v>
      </c>
      <c r="AL192" s="1096">
        <v>0</v>
      </c>
      <c r="AM192" s="1096">
        <v>0</v>
      </c>
      <c r="AN192" s="1096">
        <v>0</v>
      </c>
      <c r="AO192" s="1096">
        <v>0</v>
      </c>
      <c r="AP192" s="1096">
        <v>0</v>
      </c>
      <c r="AQ192" s="1096">
        <v>0</v>
      </c>
      <c r="AR192" s="1096">
        <v>0</v>
      </c>
      <c r="AS192" s="1096">
        <v>0</v>
      </c>
      <c r="AT192" s="1096">
        <v>0</v>
      </c>
      <c r="AU192" s="1096">
        <v>0</v>
      </c>
    </row>
    <row r="193" spans="1:47" s="1077" customFormat="1" x14ac:dyDescent="0.25">
      <c r="A193" s="99">
        <v>543</v>
      </c>
      <c r="B193" s="1088"/>
      <c r="C193" s="1098">
        <v>543</v>
      </c>
      <c r="D193" s="1098" t="s">
        <v>1518</v>
      </c>
      <c r="E193" s="1091">
        <v>0</v>
      </c>
      <c r="F193" s="1071">
        <v>0</v>
      </c>
      <c r="G193" s="1071">
        <v>0</v>
      </c>
      <c r="H193" s="1071">
        <v>0</v>
      </c>
      <c r="I193" s="1071">
        <v>0</v>
      </c>
      <c r="J193" s="1072">
        <v>0</v>
      </c>
      <c r="K193" s="1096">
        <v>0</v>
      </c>
      <c r="L193" s="1097">
        <v>0</v>
      </c>
      <c r="M193" s="1097">
        <v>0</v>
      </c>
      <c r="N193" s="1097">
        <v>0</v>
      </c>
      <c r="O193" s="1097">
        <v>0</v>
      </c>
      <c r="P193" s="1097">
        <v>0</v>
      </c>
      <c r="Q193" s="1097">
        <v>0</v>
      </c>
      <c r="R193" s="1097">
        <v>0</v>
      </c>
      <c r="S193" s="1097">
        <v>0</v>
      </c>
      <c r="T193" s="1097">
        <v>0</v>
      </c>
      <c r="U193" s="1097">
        <v>0</v>
      </c>
      <c r="V193" s="1097">
        <v>0</v>
      </c>
      <c r="W193" s="1097">
        <v>0</v>
      </c>
      <c r="X193" s="1097">
        <v>0</v>
      </c>
      <c r="Y193" s="1097">
        <v>0</v>
      </c>
      <c r="Z193" s="1097">
        <v>0</v>
      </c>
      <c r="AA193" s="1096">
        <v>0</v>
      </c>
      <c r="AB193" s="1096">
        <v>0</v>
      </c>
      <c r="AC193" s="1096">
        <v>0</v>
      </c>
      <c r="AD193" s="1096">
        <v>0</v>
      </c>
      <c r="AE193" s="1096">
        <v>0</v>
      </c>
      <c r="AF193" s="1096">
        <v>0</v>
      </c>
      <c r="AG193" s="1096">
        <v>0</v>
      </c>
      <c r="AH193" s="1096">
        <v>0</v>
      </c>
      <c r="AI193" s="1096">
        <v>0</v>
      </c>
      <c r="AJ193" s="1096">
        <v>0</v>
      </c>
      <c r="AK193" s="1096">
        <v>0</v>
      </c>
      <c r="AL193" s="1096">
        <v>0</v>
      </c>
      <c r="AM193" s="1096">
        <v>0</v>
      </c>
      <c r="AN193" s="1096">
        <v>0</v>
      </c>
      <c r="AO193" s="1096">
        <v>0</v>
      </c>
      <c r="AP193" s="1096">
        <v>0</v>
      </c>
      <c r="AQ193" s="1096">
        <v>0</v>
      </c>
      <c r="AR193" s="1096">
        <v>0</v>
      </c>
      <c r="AS193" s="1096">
        <v>0</v>
      </c>
      <c r="AT193" s="1096">
        <v>0</v>
      </c>
      <c r="AU193" s="1096">
        <v>0</v>
      </c>
    </row>
    <row r="194" spans="1:47" s="1077" customFormat="1" x14ac:dyDescent="0.25">
      <c r="A194" s="99">
        <v>544</v>
      </c>
      <c r="B194" s="1088"/>
      <c r="C194" s="1098">
        <v>544</v>
      </c>
      <c r="D194" s="1098" t="s">
        <v>53</v>
      </c>
      <c r="E194" s="1091">
        <v>0</v>
      </c>
      <c r="F194" s="1071">
        <v>0</v>
      </c>
      <c r="G194" s="1071">
        <v>0</v>
      </c>
      <c r="H194" s="1071">
        <v>0</v>
      </c>
      <c r="I194" s="1071">
        <v>0</v>
      </c>
      <c r="J194" s="1072">
        <v>0</v>
      </c>
      <c r="K194" s="1096">
        <v>0</v>
      </c>
      <c r="L194" s="1097">
        <v>0</v>
      </c>
      <c r="M194" s="1097">
        <v>0</v>
      </c>
      <c r="N194" s="1097">
        <v>0</v>
      </c>
      <c r="O194" s="1097">
        <v>0</v>
      </c>
      <c r="P194" s="1097">
        <v>0</v>
      </c>
      <c r="Q194" s="1097">
        <v>0</v>
      </c>
      <c r="R194" s="1097">
        <v>0</v>
      </c>
      <c r="S194" s="1097">
        <v>0</v>
      </c>
      <c r="T194" s="1097">
        <v>0</v>
      </c>
      <c r="U194" s="1097">
        <v>0</v>
      </c>
      <c r="V194" s="1097">
        <v>0</v>
      </c>
      <c r="W194" s="1097">
        <v>0</v>
      </c>
      <c r="X194" s="1097">
        <v>0</v>
      </c>
      <c r="Y194" s="1097">
        <v>0</v>
      </c>
      <c r="Z194" s="1097">
        <v>0</v>
      </c>
      <c r="AA194" s="1096">
        <v>0</v>
      </c>
      <c r="AB194" s="1096">
        <v>0</v>
      </c>
      <c r="AC194" s="1096">
        <v>0</v>
      </c>
      <c r="AD194" s="1096">
        <v>0</v>
      </c>
      <c r="AE194" s="1096">
        <v>0</v>
      </c>
      <c r="AF194" s="1096">
        <v>0</v>
      </c>
      <c r="AG194" s="1096">
        <v>0</v>
      </c>
      <c r="AH194" s="1096">
        <v>0</v>
      </c>
      <c r="AI194" s="1096">
        <v>0</v>
      </c>
      <c r="AJ194" s="1096">
        <v>0</v>
      </c>
      <c r="AK194" s="1096">
        <v>0</v>
      </c>
      <c r="AL194" s="1096">
        <v>0</v>
      </c>
      <c r="AM194" s="1096">
        <v>0</v>
      </c>
      <c r="AN194" s="1096">
        <v>0</v>
      </c>
      <c r="AO194" s="1096">
        <v>0</v>
      </c>
      <c r="AP194" s="1096">
        <v>0</v>
      </c>
      <c r="AQ194" s="1096">
        <v>0</v>
      </c>
      <c r="AR194" s="1096">
        <v>0</v>
      </c>
      <c r="AS194" s="1096">
        <v>0</v>
      </c>
      <c r="AT194" s="1096">
        <v>0</v>
      </c>
      <c r="AU194" s="1096">
        <v>0</v>
      </c>
    </row>
    <row r="195" spans="1:47" s="1077" customFormat="1" x14ac:dyDescent="0.25">
      <c r="A195" s="99">
        <v>545</v>
      </c>
      <c r="B195" s="1088"/>
      <c r="C195" s="1098">
        <v>545</v>
      </c>
      <c r="D195" s="1098" t="s">
        <v>54</v>
      </c>
      <c r="E195" s="1091">
        <v>0</v>
      </c>
      <c r="F195" s="1071">
        <v>0</v>
      </c>
      <c r="G195" s="1071">
        <v>0</v>
      </c>
      <c r="H195" s="1071">
        <v>0</v>
      </c>
      <c r="I195" s="1071">
        <v>0</v>
      </c>
      <c r="J195" s="1072">
        <v>0</v>
      </c>
      <c r="K195" s="1096">
        <v>0</v>
      </c>
      <c r="L195" s="1097">
        <v>0</v>
      </c>
      <c r="M195" s="1097">
        <v>0</v>
      </c>
      <c r="N195" s="1097">
        <v>0</v>
      </c>
      <c r="O195" s="1097">
        <v>0</v>
      </c>
      <c r="P195" s="1097">
        <v>0</v>
      </c>
      <c r="Q195" s="1097">
        <v>0</v>
      </c>
      <c r="R195" s="1097">
        <v>0</v>
      </c>
      <c r="S195" s="1097">
        <v>0</v>
      </c>
      <c r="T195" s="1097">
        <v>0</v>
      </c>
      <c r="U195" s="1097">
        <v>0</v>
      </c>
      <c r="V195" s="1097">
        <v>0</v>
      </c>
      <c r="W195" s="1097">
        <v>0</v>
      </c>
      <c r="X195" s="1097">
        <v>0</v>
      </c>
      <c r="Y195" s="1097">
        <v>0</v>
      </c>
      <c r="Z195" s="1097">
        <v>0</v>
      </c>
      <c r="AA195" s="1096">
        <v>0</v>
      </c>
      <c r="AB195" s="1096">
        <v>0</v>
      </c>
      <c r="AC195" s="1096">
        <v>0</v>
      </c>
      <c r="AD195" s="1096">
        <v>0</v>
      </c>
      <c r="AE195" s="1096">
        <v>0</v>
      </c>
      <c r="AF195" s="1096">
        <v>0</v>
      </c>
      <c r="AG195" s="1096">
        <v>0</v>
      </c>
      <c r="AH195" s="1096">
        <v>0</v>
      </c>
      <c r="AI195" s="1096">
        <v>0</v>
      </c>
      <c r="AJ195" s="1096">
        <v>0</v>
      </c>
      <c r="AK195" s="1096">
        <v>0</v>
      </c>
      <c r="AL195" s="1096">
        <v>0</v>
      </c>
      <c r="AM195" s="1096">
        <v>0</v>
      </c>
      <c r="AN195" s="1096">
        <v>0</v>
      </c>
      <c r="AO195" s="1096">
        <v>0</v>
      </c>
      <c r="AP195" s="1096">
        <v>0</v>
      </c>
      <c r="AQ195" s="1096">
        <v>0</v>
      </c>
      <c r="AR195" s="1096">
        <v>0</v>
      </c>
      <c r="AS195" s="1096">
        <v>0</v>
      </c>
      <c r="AT195" s="1096">
        <v>0</v>
      </c>
      <c r="AU195" s="1096">
        <v>0</v>
      </c>
    </row>
    <row r="196" spans="1:47" s="1077" customFormat="1" x14ac:dyDescent="0.25">
      <c r="A196" s="99">
        <v>546</v>
      </c>
      <c r="B196" s="1088"/>
      <c r="C196" s="1098">
        <v>546</v>
      </c>
      <c r="D196" s="1098" t="s">
        <v>578</v>
      </c>
      <c r="E196" s="1091">
        <v>0</v>
      </c>
      <c r="F196" s="1071">
        <v>0</v>
      </c>
      <c r="G196" s="1071">
        <v>0</v>
      </c>
      <c r="H196" s="1071">
        <v>0</v>
      </c>
      <c r="I196" s="1071">
        <v>0</v>
      </c>
      <c r="J196" s="1072">
        <v>0</v>
      </c>
      <c r="K196" s="1096">
        <v>0</v>
      </c>
      <c r="L196" s="1097">
        <v>0</v>
      </c>
      <c r="M196" s="1097">
        <v>0</v>
      </c>
      <c r="N196" s="1097">
        <v>0</v>
      </c>
      <c r="O196" s="1097">
        <v>0</v>
      </c>
      <c r="P196" s="1097">
        <v>0</v>
      </c>
      <c r="Q196" s="1097">
        <v>0</v>
      </c>
      <c r="R196" s="1097">
        <v>0</v>
      </c>
      <c r="S196" s="1097">
        <v>0</v>
      </c>
      <c r="T196" s="1097">
        <v>0</v>
      </c>
      <c r="U196" s="1097">
        <v>0</v>
      </c>
      <c r="V196" s="1097">
        <v>0</v>
      </c>
      <c r="W196" s="1097">
        <v>0</v>
      </c>
      <c r="X196" s="1097">
        <v>0</v>
      </c>
      <c r="Y196" s="1097">
        <v>0</v>
      </c>
      <c r="Z196" s="1097">
        <v>0</v>
      </c>
      <c r="AA196" s="1096">
        <v>0</v>
      </c>
      <c r="AB196" s="1096">
        <v>0</v>
      </c>
      <c r="AC196" s="1096">
        <v>0</v>
      </c>
      <c r="AD196" s="1096">
        <v>0</v>
      </c>
      <c r="AE196" s="1096">
        <v>0</v>
      </c>
      <c r="AF196" s="1096">
        <v>0</v>
      </c>
      <c r="AG196" s="1096">
        <v>0</v>
      </c>
      <c r="AH196" s="1096">
        <v>0</v>
      </c>
      <c r="AI196" s="1096">
        <v>0</v>
      </c>
      <c r="AJ196" s="1096">
        <v>0</v>
      </c>
      <c r="AK196" s="1096">
        <v>0</v>
      </c>
      <c r="AL196" s="1096">
        <v>0</v>
      </c>
      <c r="AM196" s="1096">
        <v>0</v>
      </c>
      <c r="AN196" s="1096">
        <v>0</v>
      </c>
      <c r="AO196" s="1096">
        <v>0</v>
      </c>
      <c r="AP196" s="1096">
        <v>0</v>
      </c>
      <c r="AQ196" s="1096">
        <v>0</v>
      </c>
      <c r="AR196" s="1096">
        <v>0</v>
      </c>
      <c r="AS196" s="1096">
        <v>0</v>
      </c>
      <c r="AT196" s="1096">
        <v>0</v>
      </c>
      <c r="AU196" s="1096">
        <v>0</v>
      </c>
    </row>
    <row r="197" spans="1:47" s="1077" customFormat="1" ht="75" x14ac:dyDescent="0.25">
      <c r="A197" s="99">
        <v>547</v>
      </c>
      <c r="B197" s="1088">
        <v>547</v>
      </c>
      <c r="C197" s="1098">
        <v>547</v>
      </c>
      <c r="D197" s="1158" t="s">
        <v>335</v>
      </c>
      <c r="E197" s="1091">
        <v>2</v>
      </c>
      <c r="F197" s="1071">
        <v>4</v>
      </c>
      <c r="G197" s="1071">
        <v>2</v>
      </c>
      <c r="H197" s="1071">
        <v>2</v>
      </c>
      <c r="I197" s="1071">
        <v>2</v>
      </c>
      <c r="J197" s="1072">
        <v>2</v>
      </c>
      <c r="K197" s="1096">
        <v>3</v>
      </c>
      <c r="L197" s="1097">
        <v>0</v>
      </c>
      <c r="M197" s="1097">
        <v>2</v>
      </c>
      <c r="N197" s="1097">
        <v>2</v>
      </c>
      <c r="O197" s="1097">
        <v>3</v>
      </c>
      <c r="P197" s="1097">
        <v>2</v>
      </c>
      <c r="Q197" s="1097">
        <v>2</v>
      </c>
      <c r="R197" s="1097">
        <v>0</v>
      </c>
      <c r="S197" s="1097">
        <v>2</v>
      </c>
      <c r="T197" s="1097">
        <v>0</v>
      </c>
      <c r="U197" s="1097">
        <v>2</v>
      </c>
      <c r="V197" s="1097">
        <v>2</v>
      </c>
      <c r="W197" s="1097">
        <v>3</v>
      </c>
      <c r="X197" s="1097">
        <v>2</v>
      </c>
      <c r="Y197" s="1097">
        <v>2</v>
      </c>
      <c r="Z197" s="1097">
        <v>2</v>
      </c>
      <c r="AA197" s="1096">
        <v>2</v>
      </c>
      <c r="AB197" s="1096">
        <v>0</v>
      </c>
      <c r="AC197" s="1096">
        <v>2</v>
      </c>
      <c r="AD197" s="1096">
        <v>2</v>
      </c>
      <c r="AE197" s="1096">
        <v>2</v>
      </c>
      <c r="AF197" s="1096">
        <v>3</v>
      </c>
      <c r="AG197" s="1096">
        <v>2</v>
      </c>
      <c r="AH197" s="1096">
        <v>2</v>
      </c>
      <c r="AI197" s="1096">
        <v>0</v>
      </c>
      <c r="AJ197" s="1096">
        <v>2</v>
      </c>
      <c r="AK197" s="1096">
        <v>2</v>
      </c>
      <c r="AL197" s="1096">
        <v>3</v>
      </c>
      <c r="AM197" s="1096">
        <v>2</v>
      </c>
      <c r="AN197" s="1096">
        <v>2</v>
      </c>
      <c r="AO197" s="1096">
        <v>2</v>
      </c>
      <c r="AP197" s="1096">
        <v>2</v>
      </c>
      <c r="AQ197" s="1096">
        <v>2</v>
      </c>
      <c r="AR197" s="1096">
        <v>2</v>
      </c>
      <c r="AS197" s="1096">
        <v>0</v>
      </c>
      <c r="AT197" s="1096">
        <v>2</v>
      </c>
      <c r="AU197" s="1096">
        <v>2</v>
      </c>
    </row>
    <row r="198" spans="1:47" s="1077" customFormat="1" x14ac:dyDescent="0.25">
      <c r="A198" s="99">
        <v>548</v>
      </c>
      <c r="B198" s="1088"/>
      <c r="C198" s="1098">
        <v>548</v>
      </c>
      <c r="D198" s="1098" t="s">
        <v>334</v>
      </c>
      <c r="E198" s="1091">
        <v>0</v>
      </c>
      <c r="F198" s="1071">
        <v>0</v>
      </c>
      <c r="G198" s="1071">
        <v>0</v>
      </c>
      <c r="H198" s="1071">
        <v>0</v>
      </c>
      <c r="I198" s="1071">
        <v>0</v>
      </c>
      <c r="J198" s="1072">
        <v>0</v>
      </c>
      <c r="K198" s="1096">
        <v>0</v>
      </c>
      <c r="L198" s="1097">
        <v>0</v>
      </c>
      <c r="M198" s="1097">
        <v>0</v>
      </c>
      <c r="N198" s="1097">
        <v>0</v>
      </c>
      <c r="O198" s="1097">
        <v>0</v>
      </c>
      <c r="P198" s="1097">
        <v>0</v>
      </c>
      <c r="Q198" s="1097">
        <v>0</v>
      </c>
      <c r="R198" s="1097">
        <v>0</v>
      </c>
      <c r="S198" s="1097">
        <v>0</v>
      </c>
      <c r="T198" s="1097">
        <v>0</v>
      </c>
      <c r="U198" s="1097">
        <v>0</v>
      </c>
      <c r="V198" s="1097">
        <v>0</v>
      </c>
      <c r="W198" s="1097">
        <v>0</v>
      </c>
      <c r="X198" s="1097">
        <v>0</v>
      </c>
      <c r="Y198" s="1097">
        <v>0</v>
      </c>
      <c r="Z198" s="1097">
        <v>0</v>
      </c>
      <c r="AA198" s="1096">
        <v>0</v>
      </c>
      <c r="AB198" s="1096">
        <v>0</v>
      </c>
      <c r="AC198" s="1096">
        <v>0</v>
      </c>
      <c r="AD198" s="1096">
        <v>0</v>
      </c>
      <c r="AE198" s="1096">
        <v>0</v>
      </c>
      <c r="AF198" s="1096">
        <v>0</v>
      </c>
      <c r="AG198" s="1096">
        <v>0</v>
      </c>
      <c r="AH198" s="1096">
        <v>0</v>
      </c>
      <c r="AI198" s="1096">
        <v>0</v>
      </c>
      <c r="AJ198" s="1096">
        <v>0</v>
      </c>
      <c r="AK198" s="1096">
        <v>0</v>
      </c>
      <c r="AL198" s="1096">
        <v>0</v>
      </c>
      <c r="AM198" s="1096">
        <v>0</v>
      </c>
      <c r="AN198" s="1096">
        <v>0</v>
      </c>
      <c r="AO198" s="1096">
        <v>0</v>
      </c>
      <c r="AP198" s="1096">
        <v>0</v>
      </c>
      <c r="AQ198" s="1096">
        <v>0</v>
      </c>
      <c r="AR198" s="1096">
        <v>0</v>
      </c>
      <c r="AS198" s="1096">
        <v>0</v>
      </c>
      <c r="AT198" s="1096">
        <v>0</v>
      </c>
      <c r="AU198" s="1096">
        <v>0</v>
      </c>
    </row>
    <row r="199" spans="1:47" s="1077" customFormat="1" x14ac:dyDescent="0.25">
      <c r="A199" s="99">
        <v>549</v>
      </c>
      <c r="B199" s="1088"/>
      <c r="C199" s="1098">
        <v>549</v>
      </c>
      <c r="D199" s="1098" t="s">
        <v>1519</v>
      </c>
      <c r="E199" s="1091">
        <v>0</v>
      </c>
      <c r="F199" s="1071">
        <v>0</v>
      </c>
      <c r="G199" s="1071">
        <v>0</v>
      </c>
      <c r="H199" s="1071">
        <v>0</v>
      </c>
      <c r="I199" s="1071">
        <v>0</v>
      </c>
      <c r="J199" s="1072">
        <v>0</v>
      </c>
      <c r="K199" s="1096">
        <v>0</v>
      </c>
      <c r="L199" s="1097">
        <v>0</v>
      </c>
      <c r="M199" s="1097">
        <v>0</v>
      </c>
      <c r="N199" s="1097">
        <v>0</v>
      </c>
      <c r="O199" s="1097">
        <v>0</v>
      </c>
      <c r="P199" s="1097">
        <v>0</v>
      </c>
      <c r="Q199" s="1097">
        <v>0</v>
      </c>
      <c r="R199" s="1097">
        <v>0</v>
      </c>
      <c r="S199" s="1097">
        <v>0</v>
      </c>
      <c r="T199" s="1097">
        <v>0</v>
      </c>
      <c r="U199" s="1097">
        <v>0</v>
      </c>
      <c r="V199" s="1097">
        <v>0</v>
      </c>
      <c r="W199" s="1097">
        <v>0</v>
      </c>
      <c r="X199" s="1097">
        <v>0</v>
      </c>
      <c r="Y199" s="1097">
        <v>0</v>
      </c>
      <c r="Z199" s="1097">
        <v>0</v>
      </c>
      <c r="AA199" s="1096">
        <v>0</v>
      </c>
      <c r="AB199" s="1096">
        <v>0</v>
      </c>
      <c r="AC199" s="1096">
        <v>0</v>
      </c>
      <c r="AD199" s="1096">
        <v>0</v>
      </c>
      <c r="AE199" s="1096">
        <v>0</v>
      </c>
      <c r="AF199" s="1096">
        <v>0</v>
      </c>
      <c r="AG199" s="1096">
        <v>0</v>
      </c>
      <c r="AH199" s="1096">
        <v>0</v>
      </c>
      <c r="AI199" s="1096">
        <v>0</v>
      </c>
      <c r="AJ199" s="1096">
        <v>0</v>
      </c>
      <c r="AK199" s="1096">
        <v>0</v>
      </c>
      <c r="AL199" s="1096">
        <v>0</v>
      </c>
      <c r="AM199" s="1096">
        <v>0</v>
      </c>
      <c r="AN199" s="1096">
        <v>0</v>
      </c>
      <c r="AO199" s="1096">
        <v>0</v>
      </c>
      <c r="AP199" s="1096">
        <v>0</v>
      </c>
      <c r="AQ199" s="1096">
        <v>0</v>
      </c>
      <c r="AR199" s="1096">
        <v>0</v>
      </c>
      <c r="AS199" s="1096">
        <v>0</v>
      </c>
      <c r="AT199" s="1096">
        <v>0</v>
      </c>
      <c r="AU199" s="1096">
        <v>0</v>
      </c>
    </row>
    <row r="200" spans="1:47" s="1077" customFormat="1" x14ac:dyDescent="0.25">
      <c r="A200" s="99">
        <v>550</v>
      </c>
      <c r="B200" s="1088"/>
      <c r="C200" s="1098">
        <v>550</v>
      </c>
      <c r="D200" s="1098" t="s">
        <v>363</v>
      </c>
      <c r="E200" s="1091">
        <v>0</v>
      </c>
      <c r="F200" s="1071">
        <v>0</v>
      </c>
      <c r="G200" s="1071">
        <v>0</v>
      </c>
      <c r="H200" s="1071">
        <v>0</v>
      </c>
      <c r="I200" s="1071">
        <v>0</v>
      </c>
      <c r="J200" s="1072">
        <v>0</v>
      </c>
      <c r="K200" s="1096">
        <v>0</v>
      </c>
      <c r="L200" s="1097">
        <v>0</v>
      </c>
      <c r="M200" s="1097">
        <v>0</v>
      </c>
      <c r="N200" s="1097">
        <v>0</v>
      </c>
      <c r="O200" s="1097">
        <v>0</v>
      </c>
      <c r="P200" s="1097">
        <v>0</v>
      </c>
      <c r="Q200" s="1097">
        <v>0</v>
      </c>
      <c r="R200" s="1097">
        <v>0</v>
      </c>
      <c r="S200" s="1097">
        <v>0</v>
      </c>
      <c r="T200" s="1097">
        <v>0</v>
      </c>
      <c r="U200" s="1097">
        <v>0</v>
      </c>
      <c r="V200" s="1097">
        <v>0</v>
      </c>
      <c r="W200" s="1097">
        <v>0</v>
      </c>
      <c r="X200" s="1097">
        <v>0</v>
      </c>
      <c r="Y200" s="1097">
        <v>0</v>
      </c>
      <c r="Z200" s="1097">
        <v>0</v>
      </c>
      <c r="AA200" s="1096">
        <v>0</v>
      </c>
      <c r="AB200" s="1096">
        <v>0</v>
      </c>
      <c r="AC200" s="1096">
        <v>0</v>
      </c>
      <c r="AD200" s="1096">
        <v>0</v>
      </c>
      <c r="AE200" s="1096">
        <v>0</v>
      </c>
      <c r="AF200" s="1096">
        <v>0</v>
      </c>
      <c r="AG200" s="1096">
        <v>0</v>
      </c>
      <c r="AH200" s="1096">
        <v>0</v>
      </c>
      <c r="AI200" s="1096">
        <v>0</v>
      </c>
      <c r="AJ200" s="1096">
        <v>0</v>
      </c>
      <c r="AK200" s="1096">
        <v>0</v>
      </c>
      <c r="AL200" s="1096">
        <v>0</v>
      </c>
      <c r="AM200" s="1096">
        <v>0</v>
      </c>
      <c r="AN200" s="1096">
        <v>0</v>
      </c>
      <c r="AO200" s="1096">
        <v>0</v>
      </c>
      <c r="AP200" s="1096">
        <v>0</v>
      </c>
      <c r="AQ200" s="1096">
        <v>0</v>
      </c>
      <c r="AR200" s="1096">
        <v>0</v>
      </c>
      <c r="AS200" s="1096">
        <v>0</v>
      </c>
      <c r="AT200" s="1096">
        <v>0</v>
      </c>
      <c r="AU200" s="1096">
        <v>0</v>
      </c>
    </row>
    <row r="201" spans="1:47" s="1077" customFormat="1" x14ac:dyDescent="0.25">
      <c r="A201" s="99">
        <v>551</v>
      </c>
      <c r="B201" s="1088"/>
      <c r="C201" s="1098">
        <v>551</v>
      </c>
      <c r="D201" s="1098" t="s">
        <v>1520</v>
      </c>
      <c r="E201" s="1091">
        <v>0</v>
      </c>
      <c r="F201" s="1071">
        <v>0</v>
      </c>
      <c r="G201" s="1071">
        <v>0</v>
      </c>
      <c r="H201" s="1071">
        <v>0</v>
      </c>
      <c r="I201" s="1071">
        <v>0</v>
      </c>
      <c r="J201" s="1072">
        <v>0</v>
      </c>
      <c r="K201" s="1096">
        <v>0</v>
      </c>
      <c r="L201" s="1097">
        <v>0</v>
      </c>
      <c r="M201" s="1097">
        <v>0</v>
      </c>
      <c r="N201" s="1097">
        <v>0</v>
      </c>
      <c r="O201" s="1097">
        <v>0</v>
      </c>
      <c r="P201" s="1097">
        <v>0</v>
      </c>
      <c r="Q201" s="1097">
        <v>0</v>
      </c>
      <c r="R201" s="1097">
        <v>0</v>
      </c>
      <c r="S201" s="1097">
        <v>0</v>
      </c>
      <c r="T201" s="1097">
        <v>0</v>
      </c>
      <c r="U201" s="1097">
        <v>0</v>
      </c>
      <c r="V201" s="1097">
        <v>0</v>
      </c>
      <c r="W201" s="1097">
        <v>0</v>
      </c>
      <c r="X201" s="1097">
        <v>0</v>
      </c>
      <c r="Y201" s="1097">
        <v>0</v>
      </c>
      <c r="Z201" s="1097">
        <v>0</v>
      </c>
      <c r="AA201" s="1096">
        <v>0</v>
      </c>
      <c r="AB201" s="1096">
        <v>0</v>
      </c>
      <c r="AC201" s="1096">
        <v>0</v>
      </c>
      <c r="AD201" s="1096">
        <v>0</v>
      </c>
      <c r="AE201" s="1096">
        <v>0</v>
      </c>
      <c r="AF201" s="1096">
        <v>0</v>
      </c>
      <c r="AG201" s="1096">
        <v>0</v>
      </c>
      <c r="AH201" s="1096">
        <v>0</v>
      </c>
      <c r="AI201" s="1096">
        <v>0</v>
      </c>
      <c r="AJ201" s="1096">
        <v>0</v>
      </c>
      <c r="AK201" s="1096">
        <v>0</v>
      </c>
      <c r="AL201" s="1096">
        <v>0</v>
      </c>
      <c r="AM201" s="1096">
        <v>0</v>
      </c>
      <c r="AN201" s="1096">
        <v>0</v>
      </c>
      <c r="AO201" s="1096">
        <v>0</v>
      </c>
      <c r="AP201" s="1096">
        <v>0</v>
      </c>
      <c r="AQ201" s="1096">
        <v>0</v>
      </c>
      <c r="AR201" s="1096">
        <v>0</v>
      </c>
      <c r="AS201" s="1096">
        <v>0</v>
      </c>
      <c r="AT201" s="1096">
        <v>0</v>
      </c>
      <c r="AU201" s="1096">
        <v>0</v>
      </c>
    </row>
    <row r="202" spans="1:47" s="1077" customFormat="1" x14ac:dyDescent="0.25">
      <c r="A202" s="99">
        <v>552</v>
      </c>
      <c r="B202" s="1088"/>
      <c r="C202" s="1098">
        <v>552</v>
      </c>
      <c r="D202" s="1098" t="s">
        <v>336</v>
      </c>
      <c r="E202" s="1091">
        <v>0</v>
      </c>
      <c r="F202" s="1071">
        <v>0</v>
      </c>
      <c r="G202" s="1071">
        <v>0</v>
      </c>
      <c r="H202" s="1071">
        <v>0</v>
      </c>
      <c r="I202" s="1071">
        <v>0</v>
      </c>
      <c r="J202" s="1072">
        <v>0</v>
      </c>
      <c r="K202" s="1096">
        <v>0</v>
      </c>
      <c r="L202" s="1097">
        <v>0</v>
      </c>
      <c r="M202" s="1097">
        <v>0</v>
      </c>
      <c r="N202" s="1097">
        <v>0</v>
      </c>
      <c r="O202" s="1097">
        <v>0</v>
      </c>
      <c r="P202" s="1097">
        <v>0</v>
      </c>
      <c r="Q202" s="1097">
        <v>0</v>
      </c>
      <c r="R202" s="1097">
        <v>0</v>
      </c>
      <c r="S202" s="1097">
        <v>0</v>
      </c>
      <c r="T202" s="1097">
        <v>0</v>
      </c>
      <c r="U202" s="1097">
        <v>0</v>
      </c>
      <c r="V202" s="1097">
        <v>0</v>
      </c>
      <c r="W202" s="1097">
        <v>0</v>
      </c>
      <c r="X202" s="1097">
        <v>0</v>
      </c>
      <c r="Y202" s="1097">
        <v>0</v>
      </c>
      <c r="Z202" s="1097">
        <v>0</v>
      </c>
      <c r="AA202" s="1096">
        <v>0</v>
      </c>
      <c r="AB202" s="1096">
        <v>0</v>
      </c>
      <c r="AC202" s="1096">
        <v>0</v>
      </c>
      <c r="AD202" s="1096">
        <v>0</v>
      </c>
      <c r="AE202" s="1096">
        <v>0</v>
      </c>
      <c r="AF202" s="1096">
        <v>0</v>
      </c>
      <c r="AG202" s="1096">
        <v>0</v>
      </c>
      <c r="AH202" s="1096">
        <v>0</v>
      </c>
      <c r="AI202" s="1096">
        <v>0</v>
      </c>
      <c r="AJ202" s="1096">
        <v>0</v>
      </c>
      <c r="AK202" s="1096">
        <v>0</v>
      </c>
      <c r="AL202" s="1096">
        <v>0</v>
      </c>
      <c r="AM202" s="1096">
        <v>0</v>
      </c>
      <c r="AN202" s="1096">
        <v>0</v>
      </c>
      <c r="AO202" s="1096">
        <v>0</v>
      </c>
      <c r="AP202" s="1096">
        <v>0</v>
      </c>
      <c r="AQ202" s="1096">
        <v>0</v>
      </c>
      <c r="AR202" s="1096">
        <v>0</v>
      </c>
      <c r="AS202" s="1096">
        <v>0</v>
      </c>
      <c r="AT202" s="1096">
        <v>0</v>
      </c>
      <c r="AU202" s="1096">
        <v>0</v>
      </c>
    </row>
    <row r="203" spans="1:47" s="1077" customFormat="1" x14ac:dyDescent="0.25">
      <c r="A203" s="99">
        <v>553</v>
      </c>
      <c r="B203" s="1088"/>
      <c r="C203" s="1098">
        <v>553</v>
      </c>
      <c r="D203" s="1098" t="s">
        <v>364</v>
      </c>
      <c r="E203" s="1091">
        <v>0</v>
      </c>
      <c r="F203" s="1071">
        <v>0</v>
      </c>
      <c r="G203" s="1071">
        <v>0</v>
      </c>
      <c r="H203" s="1071">
        <v>0</v>
      </c>
      <c r="I203" s="1071">
        <v>0</v>
      </c>
      <c r="J203" s="1072">
        <v>0</v>
      </c>
      <c r="K203" s="1096">
        <v>0</v>
      </c>
      <c r="L203" s="1097">
        <v>0</v>
      </c>
      <c r="M203" s="1097">
        <v>0</v>
      </c>
      <c r="N203" s="1097">
        <v>0</v>
      </c>
      <c r="O203" s="1097">
        <v>0</v>
      </c>
      <c r="P203" s="1097">
        <v>0</v>
      </c>
      <c r="Q203" s="1097">
        <v>0</v>
      </c>
      <c r="R203" s="1097">
        <v>0</v>
      </c>
      <c r="S203" s="1097">
        <v>0</v>
      </c>
      <c r="T203" s="1097">
        <v>0</v>
      </c>
      <c r="U203" s="1097">
        <v>0</v>
      </c>
      <c r="V203" s="1097">
        <v>0</v>
      </c>
      <c r="W203" s="1097">
        <v>0</v>
      </c>
      <c r="X203" s="1097">
        <v>0</v>
      </c>
      <c r="Y203" s="1097">
        <v>0</v>
      </c>
      <c r="Z203" s="1097">
        <v>0</v>
      </c>
      <c r="AA203" s="1096">
        <v>0</v>
      </c>
      <c r="AB203" s="1096">
        <v>0</v>
      </c>
      <c r="AC203" s="1096">
        <v>0</v>
      </c>
      <c r="AD203" s="1096">
        <v>0</v>
      </c>
      <c r="AE203" s="1096">
        <v>0</v>
      </c>
      <c r="AF203" s="1096">
        <v>0</v>
      </c>
      <c r="AG203" s="1096">
        <v>0</v>
      </c>
      <c r="AH203" s="1096">
        <v>0</v>
      </c>
      <c r="AI203" s="1096">
        <v>0</v>
      </c>
      <c r="AJ203" s="1096">
        <v>0</v>
      </c>
      <c r="AK203" s="1096">
        <v>0</v>
      </c>
      <c r="AL203" s="1096">
        <v>0</v>
      </c>
      <c r="AM203" s="1096">
        <v>0</v>
      </c>
      <c r="AN203" s="1096">
        <v>0</v>
      </c>
      <c r="AO203" s="1096">
        <v>0</v>
      </c>
      <c r="AP203" s="1096">
        <v>0</v>
      </c>
      <c r="AQ203" s="1096">
        <v>0</v>
      </c>
      <c r="AR203" s="1096">
        <v>0</v>
      </c>
      <c r="AS203" s="1096">
        <v>0</v>
      </c>
      <c r="AT203" s="1096">
        <v>0</v>
      </c>
      <c r="AU203" s="1096">
        <v>0</v>
      </c>
    </row>
    <row r="204" spans="1:47" s="1077" customFormat="1" x14ac:dyDescent="0.25">
      <c r="A204" s="99">
        <v>554</v>
      </c>
      <c r="B204" s="1088">
        <v>554</v>
      </c>
      <c r="C204" s="1098">
        <v>554</v>
      </c>
      <c r="D204" s="1098" t="s">
        <v>365</v>
      </c>
      <c r="E204" s="1091">
        <v>753499</v>
      </c>
      <c r="F204" s="1071">
        <v>0</v>
      </c>
      <c r="G204" s="1071">
        <v>0</v>
      </c>
      <c r="H204" s="1071">
        <v>1615443</v>
      </c>
      <c r="I204" s="1071">
        <v>0</v>
      </c>
      <c r="J204" s="1072">
        <v>0</v>
      </c>
      <c r="K204" s="1096">
        <v>0</v>
      </c>
      <c r="L204" s="1097">
        <v>0</v>
      </c>
      <c r="M204" s="1097">
        <v>7971765</v>
      </c>
      <c r="N204" s="1097">
        <v>0</v>
      </c>
      <c r="O204" s="1097">
        <v>0</v>
      </c>
      <c r="P204" s="1097">
        <v>0</v>
      </c>
      <c r="Q204" s="1097">
        <v>0</v>
      </c>
      <c r="R204" s="1097">
        <v>0</v>
      </c>
      <c r="S204" s="1097">
        <v>0</v>
      </c>
      <c r="T204" s="1097">
        <v>0</v>
      </c>
      <c r="U204" s="1097">
        <v>0</v>
      </c>
      <c r="V204" s="1097">
        <v>0</v>
      </c>
      <c r="W204" s="1097">
        <v>0</v>
      </c>
      <c r="X204" s="1097">
        <v>0</v>
      </c>
      <c r="Y204" s="1097">
        <v>1253366</v>
      </c>
      <c r="Z204" s="1097">
        <v>0</v>
      </c>
      <c r="AA204" s="1096">
        <v>0</v>
      </c>
      <c r="AB204" s="1096">
        <v>0</v>
      </c>
      <c r="AC204" s="1096">
        <v>0</v>
      </c>
      <c r="AD204" s="1096">
        <v>0</v>
      </c>
      <c r="AE204" s="1096">
        <v>0</v>
      </c>
      <c r="AF204" s="1096">
        <v>1762145</v>
      </c>
      <c r="AG204" s="1096">
        <v>0</v>
      </c>
      <c r="AH204" s="1096">
        <v>0</v>
      </c>
      <c r="AI204" s="1096">
        <v>0</v>
      </c>
      <c r="AJ204" s="1096">
        <v>5688583</v>
      </c>
      <c r="AK204" s="1096">
        <v>0</v>
      </c>
      <c r="AL204" s="1096">
        <v>72136</v>
      </c>
      <c r="AM204" s="1096">
        <v>0</v>
      </c>
      <c r="AN204" s="1096">
        <v>0</v>
      </c>
      <c r="AO204" s="1096">
        <v>0</v>
      </c>
      <c r="AP204" s="1096">
        <v>0</v>
      </c>
      <c r="AQ204" s="1096">
        <v>0</v>
      </c>
      <c r="AR204" s="1096">
        <v>0</v>
      </c>
      <c r="AS204" s="1096">
        <v>2804913</v>
      </c>
      <c r="AT204" s="1096">
        <v>0</v>
      </c>
      <c r="AU204" s="1096">
        <v>0</v>
      </c>
    </row>
    <row r="205" spans="1:47" s="1077" customFormat="1" x14ac:dyDescent="0.25">
      <c r="A205" s="99">
        <v>555</v>
      </c>
      <c r="B205" s="1088">
        <v>555</v>
      </c>
      <c r="C205" s="1098">
        <v>555</v>
      </c>
      <c r="D205" s="1098" t="s">
        <v>366</v>
      </c>
      <c r="E205" s="1091">
        <v>350142</v>
      </c>
      <c r="F205" s="1071">
        <v>0</v>
      </c>
      <c r="G205" s="1071">
        <v>0</v>
      </c>
      <c r="H205" s="1071">
        <v>1615443</v>
      </c>
      <c r="I205" s="1071">
        <v>0</v>
      </c>
      <c r="J205" s="1072">
        <v>0</v>
      </c>
      <c r="K205" s="1096">
        <v>0</v>
      </c>
      <c r="L205" s="1097">
        <v>0</v>
      </c>
      <c r="M205" s="1097">
        <v>7718158</v>
      </c>
      <c r="N205" s="1097">
        <v>0</v>
      </c>
      <c r="O205" s="1097">
        <v>0</v>
      </c>
      <c r="P205" s="1097">
        <v>0</v>
      </c>
      <c r="Q205" s="1097">
        <v>0</v>
      </c>
      <c r="R205" s="1097">
        <v>0</v>
      </c>
      <c r="S205" s="1097">
        <v>0</v>
      </c>
      <c r="T205" s="1097">
        <v>0</v>
      </c>
      <c r="U205" s="1097">
        <v>0</v>
      </c>
      <c r="V205" s="1097">
        <v>0</v>
      </c>
      <c r="W205" s="1097">
        <v>0</v>
      </c>
      <c r="X205" s="1097">
        <v>0</v>
      </c>
      <c r="Y205" s="1097">
        <v>762658</v>
      </c>
      <c r="Z205" s="1097">
        <v>0</v>
      </c>
      <c r="AA205" s="1096">
        <v>0</v>
      </c>
      <c r="AB205" s="1096">
        <v>0</v>
      </c>
      <c r="AC205" s="1096">
        <v>0</v>
      </c>
      <c r="AD205" s="1096">
        <v>0</v>
      </c>
      <c r="AE205" s="1096">
        <v>0</v>
      </c>
      <c r="AF205" s="1096">
        <v>1762145</v>
      </c>
      <c r="AG205" s="1096">
        <v>0</v>
      </c>
      <c r="AH205" s="1096">
        <v>0</v>
      </c>
      <c r="AI205" s="1096">
        <v>0</v>
      </c>
      <c r="AJ205" s="1096">
        <v>4708999</v>
      </c>
      <c r="AK205" s="1096">
        <v>0</v>
      </c>
      <c r="AL205" s="1096">
        <v>0</v>
      </c>
      <c r="AM205" s="1096">
        <v>0</v>
      </c>
      <c r="AN205" s="1096">
        <v>0</v>
      </c>
      <c r="AO205" s="1096">
        <v>0</v>
      </c>
      <c r="AP205" s="1096">
        <v>0</v>
      </c>
      <c r="AQ205" s="1096">
        <v>0</v>
      </c>
      <c r="AR205" s="1096">
        <v>0</v>
      </c>
      <c r="AS205" s="1096">
        <v>593787</v>
      </c>
      <c r="AT205" s="1096">
        <v>0</v>
      </c>
      <c r="AU205" s="1096">
        <v>0</v>
      </c>
    </row>
    <row r="206" spans="1:47" s="1077" customFormat="1" x14ac:dyDescent="0.25">
      <c r="A206" s="99">
        <v>556</v>
      </c>
      <c r="B206" s="1088">
        <v>556</v>
      </c>
      <c r="C206" s="1098">
        <v>556</v>
      </c>
      <c r="D206" s="1098" t="s">
        <v>367</v>
      </c>
      <c r="E206" s="1091">
        <v>529703</v>
      </c>
      <c r="F206" s="1071">
        <v>0</v>
      </c>
      <c r="G206" s="1071">
        <v>0</v>
      </c>
      <c r="H206" s="1071">
        <v>1403385</v>
      </c>
      <c r="I206" s="1071">
        <v>0</v>
      </c>
      <c r="J206" s="1072">
        <v>0</v>
      </c>
      <c r="K206" s="1096">
        <v>0</v>
      </c>
      <c r="L206" s="1097">
        <v>0</v>
      </c>
      <c r="M206" s="1097">
        <v>1304534</v>
      </c>
      <c r="N206" s="1097">
        <v>0</v>
      </c>
      <c r="O206" s="1097">
        <v>0</v>
      </c>
      <c r="P206" s="1097">
        <v>0</v>
      </c>
      <c r="Q206" s="1097">
        <v>0</v>
      </c>
      <c r="R206" s="1097">
        <v>0</v>
      </c>
      <c r="S206" s="1097">
        <v>0</v>
      </c>
      <c r="T206" s="1097">
        <v>0</v>
      </c>
      <c r="U206" s="1097">
        <v>0</v>
      </c>
      <c r="V206" s="1097">
        <v>0</v>
      </c>
      <c r="W206" s="1097">
        <v>0</v>
      </c>
      <c r="X206" s="1097">
        <v>0</v>
      </c>
      <c r="Y206" s="1097">
        <v>368327</v>
      </c>
      <c r="Z206" s="1097">
        <v>0</v>
      </c>
      <c r="AA206" s="1096">
        <v>0</v>
      </c>
      <c r="AB206" s="1096">
        <v>0</v>
      </c>
      <c r="AC206" s="1096">
        <v>0</v>
      </c>
      <c r="AD206" s="1096">
        <v>0</v>
      </c>
      <c r="AE206" s="1096">
        <v>0</v>
      </c>
      <c r="AF206" s="1096">
        <v>0</v>
      </c>
      <c r="AG206" s="1096">
        <v>0</v>
      </c>
      <c r="AH206" s="1096">
        <v>0</v>
      </c>
      <c r="AI206" s="1096">
        <v>0</v>
      </c>
      <c r="AJ206" s="1096">
        <v>1310573</v>
      </c>
      <c r="AK206" s="1096">
        <v>0</v>
      </c>
      <c r="AL206" s="1096">
        <v>3261684</v>
      </c>
      <c r="AM206" s="1096">
        <v>0</v>
      </c>
      <c r="AN206" s="1096">
        <v>0</v>
      </c>
      <c r="AO206" s="1096">
        <v>0</v>
      </c>
      <c r="AP206" s="1096">
        <v>0</v>
      </c>
      <c r="AQ206" s="1096">
        <v>0</v>
      </c>
      <c r="AR206" s="1096">
        <v>0</v>
      </c>
      <c r="AS206" s="1096">
        <v>1215091</v>
      </c>
      <c r="AT206" s="1096">
        <v>0</v>
      </c>
      <c r="AU206" s="1096">
        <v>0</v>
      </c>
    </row>
    <row r="207" spans="1:47" s="1077" customFormat="1" x14ac:dyDescent="0.25">
      <c r="A207" s="99">
        <v>557</v>
      </c>
      <c r="B207" s="1088">
        <v>557</v>
      </c>
      <c r="C207" s="1098">
        <v>557</v>
      </c>
      <c r="D207" s="1098" t="s">
        <v>368</v>
      </c>
      <c r="E207" s="1091">
        <v>244408</v>
      </c>
      <c r="F207" s="1071">
        <v>0</v>
      </c>
      <c r="G207" s="1071">
        <v>0</v>
      </c>
      <c r="H207" s="1071">
        <v>1098146</v>
      </c>
      <c r="I207" s="1071">
        <v>0</v>
      </c>
      <c r="J207" s="1072">
        <v>0</v>
      </c>
      <c r="K207" s="1096">
        <v>0</v>
      </c>
      <c r="L207" s="1097">
        <v>0</v>
      </c>
      <c r="M207" s="1097">
        <v>952920</v>
      </c>
      <c r="N207" s="1097">
        <v>0</v>
      </c>
      <c r="O207" s="1097">
        <v>0</v>
      </c>
      <c r="P207" s="1097">
        <v>0</v>
      </c>
      <c r="Q207" s="1097">
        <v>0</v>
      </c>
      <c r="R207" s="1097">
        <v>0</v>
      </c>
      <c r="S207" s="1097">
        <v>0</v>
      </c>
      <c r="T207" s="1097">
        <v>0</v>
      </c>
      <c r="U207" s="1097">
        <v>0</v>
      </c>
      <c r="V207" s="1097">
        <v>0</v>
      </c>
      <c r="W207" s="1097">
        <v>0</v>
      </c>
      <c r="X207" s="1097">
        <v>0</v>
      </c>
      <c r="Y207" s="1097">
        <v>0</v>
      </c>
      <c r="Z207" s="1097">
        <v>0</v>
      </c>
      <c r="AA207" s="1096">
        <v>0</v>
      </c>
      <c r="AB207" s="1096">
        <v>0</v>
      </c>
      <c r="AC207" s="1096">
        <v>0</v>
      </c>
      <c r="AD207" s="1096">
        <v>0</v>
      </c>
      <c r="AE207" s="1096">
        <v>0</v>
      </c>
      <c r="AF207" s="1096">
        <v>0</v>
      </c>
      <c r="AG207" s="1096">
        <v>0</v>
      </c>
      <c r="AH207" s="1096">
        <v>0</v>
      </c>
      <c r="AI207" s="1096">
        <v>0</v>
      </c>
      <c r="AJ207" s="1096">
        <v>742303</v>
      </c>
      <c r="AK207" s="1096">
        <v>0</v>
      </c>
      <c r="AL207" s="1096">
        <v>3250571</v>
      </c>
      <c r="AM207" s="1096">
        <v>0</v>
      </c>
      <c r="AN207" s="1096">
        <v>0</v>
      </c>
      <c r="AO207" s="1096">
        <v>0</v>
      </c>
      <c r="AP207" s="1096">
        <v>0</v>
      </c>
      <c r="AQ207" s="1096">
        <v>0</v>
      </c>
      <c r="AR207" s="1096">
        <v>0</v>
      </c>
      <c r="AS207" s="1096">
        <v>833712</v>
      </c>
      <c r="AT207" s="1096">
        <v>0</v>
      </c>
      <c r="AU207" s="1096">
        <v>0</v>
      </c>
    </row>
    <row r="208" spans="1:47" s="1077" customFormat="1" x14ac:dyDescent="0.25">
      <c r="A208" s="99">
        <v>558</v>
      </c>
      <c r="B208" s="1088"/>
      <c r="C208" s="1098">
        <v>558</v>
      </c>
      <c r="D208" s="1098" t="s">
        <v>1127</v>
      </c>
      <c r="E208" s="1091"/>
      <c r="F208" s="1071"/>
      <c r="G208" s="1071"/>
      <c r="H208" s="1071"/>
      <c r="I208" s="1071"/>
      <c r="J208" s="1072"/>
      <c r="K208" s="1096"/>
      <c r="L208" s="1097"/>
      <c r="M208" s="1097"/>
      <c r="N208" s="1097"/>
      <c r="O208" s="1097"/>
      <c r="P208" s="1097"/>
      <c r="Q208" s="1097"/>
      <c r="R208" s="1097"/>
      <c r="S208" s="1097"/>
      <c r="T208" s="1097"/>
      <c r="U208" s="1097"/>
      <c r="V208" s="1097"/>
      <c r="W208" s="1097"/>
      <c r="X208" s="1097"/>
      <c r="Y208" s="1097"/>
      <c r="Z208" s="1097"/>
      <c r="AA208" s="1096"/>
      <c r="AB208" s="1096"/>
      <c r="AC208" s="1096"/>
      <c r="AD208" s="1096"/>
      <c r="AE208" s="1096"/>
      <c r="AF208" s="1096"/>
      <c r="AG208" s="1096"/>
      <c r="AH208" s="1096"/>
      <c r="AI208" s="1096"/>
      <c r="AJ208" s="1096"/>
      <c r="AK208" s="1096"/>
      <c r="AL208" s="1096"/>
      <c r="AM208" s="1096"/>
      <c r="AN208" s="1096"/>
      <c r="AO208" s="1096"/>
      <c r="AP208" s="1096"/>
      <c r="AQ208" s="1096"/>
      <c r="AR208" s="1096"/>
      <c r="AS208" s="1096"/>
      <c r="AT208" s="1096"/>
      <c r="AU208" s="1096"/>
    </row>
    <row r="209" spans="1:47" s="1077" customFormat="1" x14ac:dyDescent="0.25">
      <c r="A209" s="99">
        <v>559</v>
      </c>
      <c r="B209" s="1088"/>
      <c r="C209" s="1098">
        <v>559</v>
      </c>
      <c r="D209" s="1098" t="s">
        <v>1128</v>
      </c>
      <c r="E209" s="1091"/>
      <c r="F209" s="1071"/>
      <c r="G209" s="1071"/>
      <c r="H209" s="1071"/>
      <c r="I209" s="1071"/>
      <c r="J209" s="1072"/>
      <c r="K209" s="1096"/>
      <c r="L209" s="1097"/>
      <c r="M209" s="1097"/>
      <c r="N209" s="1097"/>
      <c r="O209" s="1097"/>
      <c r="P209" s="1097"/>
      <c r="Q209" s="1097"/>
      <c r="R209" s="1097"/>
      <c r="S209" s="1097"/>
      <c r="T209" s="1097"/>
      <c r="U209" s="1097"/>
      <c r="V209" s="1097"/>
      <c r="W209" s="1097"/>
      <c r="X209" s="1097"/>
      <c r="Y209" s="1097"/>
      <c r="Z209" s="1097"/>
      <c r="AA209" s="1096"/>
      <c r="AB209" s="1096"/>
      <c r="AC209" s="1096"/>
      <c r="AD209" s="1096"/>
      <c r="AE209" s="1096"/>
      <c r="AF209" s="1096"/>
      <c r="AG209" s="1096"/>
      <c r="AH209" s="1096"/>
      <c r="AI209" s="1096"/>
      <c r="AJ209" s="1096"/>
      <c r="AK209" s="1096"/>
      <c r="AL209" s="1096"/>
      <c r="AM209" s="1096"/>
      <c r="AN209" s="1096"/>
      <c r="AO209" s="1096"/>
      <c r="AP209" s="1096"/>
      <c r="AQ209" s="1096"/>
      <c r="AR209" s="1096"/>
      <c r="AS209" s="1096"/>
      <c r="AT209" s="1096"/>
      <c r="AU209" s="1096"/>
    </row>
    <row r="210" spans="1:47" s="1077" customFormat="1" x14ac:dyDescent="0.25">
      <c r="A210" s="99">
        <v>560</v>
      </c>
      <c r="B210" s="1088"/>
      <c r="C210" s="1098">
        <v>560</v>
      </c>
      <c r="D210" s="1098" t="s">
        <v>1129</v>
      </c>
      <c r="E210" s="1091"/>
      <c r="F210" s="1071"/>
      <c r="G210" s="1071"/>
      <c r="H210" s="1071"/>
      <c r="I210" s="1071"/>
      <c r="J210" s="1072"/>
      <c r="K210" s="1096"/>
      <c r="L210" s="1097"/>
      <c r="M210" s="1097"/>
      <c r="N210" s="1097"/>
      <c r="O210" s="1097"/>
      <c r="P210" s="1097"/>
      <c r="Q210" s="1097"/>
      <c r="R210" s="1097"/>
      <c r="S210" s="1097"/>
      <c r="T210" s="1097"/>
      <c r="U210" s="1097"/>
      <c r="V210" s="1097"/>
      <c r="W210" s="1097"/>
      <c r="X210" s="1097"/>
      <c r="Y210" s="1097"/>
      <c r="Z210" s="1097"/>
      <c r="AA210" s="1096"/>
      <c r="AB210" s="1096"/>
      <c r="AC210" s="1096"/>
      <c r="AD210" s="1096"/>
      <c r="AE210" s="1096"/>
      <c r="AF210" s="1096"/>
      <c r="AG210" s="1096"/>
      <c r="AH210" s="1096"/>
      <c r="AI210" s="1096"/>
      <c r="AJ210" s="1096"/>
      <c r="AK210" s="1096"/>
      <c r="AL210" s="1096"/>
      <c r="AM210" s="1096"/>
      <c r="AN210" s="1096"/>
      <c r="AO210" s="1096"/>
      <c r="AP210" s="1096"/>
      <c r="AQ210" s="1096"/>
      <c r="AR210" s="1096"/>
      <c r="AS210" s="1096"/>
      <c r="AT210" s="1096"/>
      <c r="AU210" s="1096"/>
    </row>
    <row r="211" spans="1:47" s="1077" customFormat="1" x14ac:dyDescent="0.25">
      <c r="A211" s="99">
        <v>561</v>
      </c>
      <c r="B211" s="1088"/>
      <c r="C211" s="1098">
        <v>561</v>
      </c>
      <c r="D211" s="1098" t="s">
        <v>1130</v>
      </c>
      <c r="E211" s="1091"/>
      <c r="F211" s="1071"/>
      <c r="G211" s="1071"/>
      <c r="H211" s="1071"/>
      <c r="I211" s="1071"/>
      <c r="J211" s="1072"/>
      <c r="K211" s="1096"/>
      <c r="L211" s="1097"/>
      <c r="M211" s="1097"/>
      <c r="N211" s="1097"/>
      <c r="O211" s="1097"/>
      <c r="P211" s="1097"/>
      <c r="Q211" s="1097"/>
      <c r="R211" s="1097"/>
      <c r="S211" s="1097"/>
      <c r="T211" s="1097"/>
      <c r="U211" s="1097"/>
      <c r="V211" s="1097"/>
      <c r="W211" s="1097"/>
      <c r="X211" s="1097"/>
      <c r="Y211" s="1097"/>
      <c r="Z211" s="1097"/>
      <c r="AA211" s="1096"/>
      <c r="AB211" s="1096"/>
      <c r="AC211" s="1096"/>
      <c r="AD211" s="1096"/>
      <c r="AE211" s="1096"/>
      <c r="AF211" s="1096"/>
      <c r="AG211" s="1096"/>
      <c r="AH211" s="1096"/>
      <c r="AI211" s="1096"/>
      <c r="AJ211" s="1096"/>
      <c r="AK211" s="1096"/>
      <c r="AL211" s="1096"/>
      <c r="AM211" s="1096"/>
      <c r="AN211" s="1096"/>
      <c r="AO211" s="1096"/>
      <c r="AP211" s="1096"/>
      <c r="AQ211" s="1096"/>
      <c r="AR211" s="1096"/>
      <c r="AS211" s="1096"/>
      <c r="AT211" s="1096"/>
      <c r="AU211" s="1096"/>
    </row>
    <row r="212" spans="1:47" s="1077" customFormat="1" x14ac:dyDescent="0.25">
      <c r="A212" s="99">
        <v>562</v>
      </c>
      <c r="B212" s="1088"/>
      <c r="C212" s="1098">
        <v>562</v>
      </c>
      <c r="D212" s="1098" t="s">
        <v>1136</v>
      </c>
      <c r="E212" s="1091"/>
      <c r="F212" s="1071"/>
      <c r="G212" s="1071"/>
      <c r="H212" s="1071"/>
      <c r="I212" s="1071"/>
      <c r="J212" s="1072"/>
      <c r="K212" s="1096"/>
      <c r="L212" s="1097"/>
      <c r="M212" s="1097"/>
      <c r="N212" s="1097"/>
      <c r="O212" s="1097"/>
      <c r="P212" s="1097"/>
      <c r="Q212" s="1097"/>
      <c r="R212" s="1097"/>
      <c r="S212" s="1097"/>
      <c r="T212" s="1097"/>
      <c r="U212" s="1097"/>
      <c r="V212" s="1097"/>
      <c r="W212" s="1097"/>
      <c r="X212" s="1097"/>
      <c r="Y212" s="1097"/>
      <c r="Z212" s="1097"/>
      <c r="AA212" s="1096"/>
      <c r="AB212" s="1096"/>
      <c r="AC212" s="1096"/>
      <c r="AD212" s="1096"/>
      <c r="AE212" s="1096"/>
      <c r="AF212" s="1096"/>
      <c r="AG212" s="1096"/>
      <c r="AH212" s="1096"/>
      <c r="AI212" s="1096"/>
      <c r="AJ212" s="1096"/>
      <c r="AK212" s="1096"/>
      <c r="AL212" s="1096"/>
      <c r="AM212" s="1096"/>
      <c r="AN212" s="1096"/>
      <c r="AO212" s="1096"/>
      <c r="AP212" s="1096"/>
      <c r="AQ212" s="1096"/>
      <c r="AR212" s="1096"/>
      <c r="AS212" s="1096"/>
      <c r="AT212" s="1096"/>
      <c r="AU212" s="1096"/>
    </row>
    <row r="213" spans="1:47" s="1077" customFormat="1" x14ac:dyDescent="0.25">
      <c r="A213" s="99">
        <v>563</v>
      </c>
      <c r="B213" s="1088"/>
      <c r="C213" s="1098">
        <v>563</v>
      </c>
      <c r="D213" s="1098" t="s">
        <v>1131</v>
      </c>
      <c r="E213" s="1091"/>
      <c r="F213" s="1071"/>
      <c r="G213" s="1071"/>
      <c r="H213" s="1071"/>
      <c r="I213" s="1071"/>
      <c r="J213" s="1072"/>
      <c r="K213" s="1096"/>
      <c r="L213" s="1097"/>
      <c r="M213" s="1097"/>
      <c r="N213" s="1097"/>
      <c r="O213" s="1097"/>
      <c r="P213" s="1097"/>
      <c r="Q213" s="1097"/>
      <c r="R213" s="1097"/>
      <c r="S213" s="1097"/>
      <c r="T213" s="1097"/>
      <c r="U213" s="1097"/>
      <c r="V213" s="1097"/>
      <c r="W213" s="1097"/>
      <c r="X213" s="1097"/>
      <c r="Y213" s="1097"/>
      <c r="Z213" s="1097"/>
      <c r="AA213" s="1096"/>
      <c r="AB213" s="1096"/>
      <c r="AC213" s="1096"/>
      <c r="AD213" s="1096"/>
      <c r="AE213" s="1096"/>
      <c r="AF213" s="1096"/>
      <c r="AG213" s="1096"/>
      <c r="AH213" s="1096"/>
      <c r="AI213" s="1096"/>
      <c r="AJ213" s="1096"/>
      <c r="AK213" s="1096"/>
      <c r="AL213" s="1096"/>
      <c r="AM213" s="1096"/>
      <c r="AN213" s="1096"/>
      <c r="AO213" s="1096"/>
      <c r="AP213" s="1096"/>
      <c r="AQ213" s="1096"/>
      <c r="AR213" s="1096"/>
      <c r="AS213" s="1096"/>
      <c r="AT213" s="1096"/>
      <c r="AU213" s="1096"/>
    </row>
    <row r="214" spans="1:47" s="1077" customFormat="1" x14ac:dyDescent="0.25">
      <c r="A214" s="99">
        <v>564</v>
      </c>
      <c r="B214" s="1088"/>
      <c r="C214" s="1098">
        <v>564</v>
      </c>
      <c r="D214" s="1098" t="s">
        <v>1132</v>
      </c>
      <c r="E214" s="1091"/>
      <c r="F214" s="1071"/>
      <c r="G214" s="1071"/>
      <c r="H214" s="1071"/>
      <c r="I214" s="1071"/>
      <c r="J214" s="1072"/>
      <c r="K214" s="1096"/>
      <c r="L214" s="1097"/>
      <c r="M214" s="1097"/>
      <c r="N214" s="1097"/>
      <c r="O214" s="1097"/>
      <c r="P214" s="1097"/>
      <c r="Q214" s="1097"/>
      <c r="R214" s="1097"/>
      <c r="S214" s="1097"/>
      <c r="T214" s="1097"/>
      <c r="U214" s="1097"/>
      <c r="V214" s="1097"/>
      <c r="W214" s="1097"/>
      <c r="X214" s="1097"/>
      <c r="Y214" s="1097"/>
      <c r="Z214" s="1097"/>
      <c r="AA214" s="1096"/>
      <c r="AB214" s="1096"/>
      <c r="AC214" s="1096"/>
      <c r="AD214" s="1096"/>
      <c r="AE214" s="1096"/>
      <c r="AF214" s="1096"/>
      <c r="AG214" s="1096"/>
      <c r="AH214" s="1096"/>
      <c r="AI214" s="1096"/>
      <c r="AJ214" s="1096"/>
      <c r="AK214" s="1096"/>
      <c r="AL214" s="1096"/>
      <c r="AM214" s="1096"/>
      <c r="AN214" s="1096"/>
      <c r="AO214" s="1096"/>
      <c r="AP214" s="1096"/>
      <c r="AQ214" s="1096"/>
      <c r="AR214" s="1096"/>
      <c r="AS214" s="1096"/>
      <c r="AT214" s="1096"/>
      <c r="AU214" s="1096"/>
    </row>
    <row r="215" spans="1:47" s="1077" customFormat="1" x14ac:dyDescent="0.25">
      <c r="A215" s="99">
        <v>565</v>
      </c>
      <c r="B215" s="1088"/>
      <c r="C215" s="1098">
        <v>565</v>
      </c>
      <c r="D215" s="1098" t="s">
        <v>1267</v>
      </c>
      <c r="E215" s="1091"/>
      <c r="F215" s="1071"/>
      <c r="G215" s="1071"/>
      <c r="H215" s="1071"/>
      <c r="I215" s="1071"/>
      <c r="J215" s="1072"/>
      <c r="K215" s="1096"/>
      <c r="L215" s="1097"/>
      <c r="M215" s="1097"/>
      <c r="N215" s="1097"/>
      <c r="O215" s="1097"/>
      <c r="P215" s="1097"/>
      <c r="Q215" s="1097"/>
      <c r="R215" s="1097"/>
      <c r="S215" s="1097"/>
      <c r="T215" s="1097"/>
      <c r="U215" s="1097"/>
      <c r="V215" s="1097"/>
      <c r="W215" s="1097"/>
      <c r="X215" s="1097"/>
      <c r="Y215" s="1097"/>
      <c r="Z215" s="1097"/>
      <c r="AA215" s="1096"/>
      <c r="AB215" s="1096"/>
      <c r="AC215" s="1096"/>
      <c r="AD215" s="1096"/>
      <c r="AE215" s="1096"/>
      <c r="AF215" s="1096"/>
      <c r="AG215" s="1096"/>
      <c r="AH215" s="1096"/>
      <c r="AI215" s="1096"/>
      <c r="AJ215" s="1096"/>
      <c r="AK215" s="1096"/>
      <c r="AL215" s="1096"/>
      <c r="AM215" s="1096"/>
      <c r="AN215" s="1096"/>
      <c r="AO215" s="1096"/>
      <c r="AP215" s="1096"/>
      <c r="AQ215" s="1096"/>
      <c r="AR215" s="1096"/>
      <c r="AS215" s="1096"/>
      <c r="AT215" s="1096"/>
      <c r="AU215" s="1096"/>
    </row>
    <row r="216" spans="1:47" s="1077" customFormat="1" x14ac:dyDescent="0.25">
      <c r="A216" s="99">
        <v>566</v>
      </c>
      <c r="B216" s="1088"/>
      <c r="C216" s="1098">
        <v>566</v>
      </c>
      <c r="D216" s="1098" t="s">
        <v>1134</v>
      </c>
      <c r="E216" s="1091"/>
      <c r="F216" s="1071"/>
      <c r="G216" s="1071"/>
      <c r="H216" s="1071"/>
      <c r="I216" s="1071"/>
      <c r="J216" s="1072"/>
      <c r="K216" s="1096"/>
      <c r="L216" s="1097"/>
      <c r="M216" s="1097"/>
      <c r="N216" s="1097"/>
      <c r="O216" s="1097"/>
      <c r="P216" s="1097"/>
      <c r="Q216" s="1097"/>
      <c r="R216" s="1097"/>
      <c r="S216" s="1097"/>
      <c r="T216" s="1097"/>
      <c r="U216" s="1097"/>
      <c r="V216" s="1097"/>
      <c r="W216" s="1097"/>
      <c r="X216" s="1097"/>
      <c r="Y216" s="1097"/>
      <c r="Z216" s="1097"/>
      <c r="AA216" s="1096"/>
      <c r="AB216" s="1096"/>
      <c r="AC216" s="1096"/>
      <c r="AD216" s="1096"/>
      <c r="AE216" s="1096"/>
      <c r="AF216" s="1096"/>
      <c r="AG216" s="1096"/>
      <c r="AH216" s="1096"/>
      <c r="AI216" s="1096"/>
      <c r="AJ216" s="1096"/>
      <c r="AK216" s="1096"/>
      <c r="AL216" s="1096"/>
      <c r="AM216" s="1096"/>
      <c r="AN216" s="1096"/>
      <c r="AO216" s="1096"/>
      <c r="AP216" s="1096"/>
      <c r="AQ216" s="1096"/>
      <c r="AR216" s="1096"/>
      <c r="AS216" s="1096"/>
      <c r="AT216" s="1096"/>
      <c r="AU216" s="1096"/>
    </row>
    <row r="217" spans="1:47" s="1077" customFormat="1" x14ac:dyDescent="0.25">
      <c r="A217" s="99">
        <v>567</v>
      </c>
      <c r="B217" s="1088"/>
      <c r="C217" s="1098">
        <v>567</v>
      </c>
      <c r="D217" s="1098" t="s">
        <v>1135</v>
      </c>
      <c r="E217" s="1091"/>
      <c r="F217" s="1071"/>
      <c r="G217" s="1071"/>
      <c r="H217" s="1071"/>
      <c r="I217" s="1071"/>
      <c r="J217" s="1072"/>
      <c r="K217" s="1096"/>
      <c r="L217" s="1097"/>
      <c r="M217" s="1097"/>
      <c r="N217" s="1097"/>
      <c r="O217" s="1097"/>
      <c r="P217" s="1097"/>
      <c r="Q217" s="1097"/>
      <c r="R217" s="1097"/>
      <c r="S217" s="1097"/>
      <c r="T217" s="1097"/>
      <c r="U217" s="1097"/>
      <c r="V217" s="1097"/>
      <c r="W217" s="1097"/>
      <c r="X217" s="1097"/>
      <c r="Y217" s="1097"/>
      <c r="Z217" s="1097"/>
      <c r="AA217" s="1096"/>
      <c r="AB217" s="1096"/>
      <c r="AC217" s="1096"/>
      <c r="AD217" s="1096"/>
      <c r="AE217" s="1096"/>
      <c r="AF217" s="1096"/>
      <c r="AG217" s="1096"/>
      <c r="AH217" s="1096"/>
      <c r="AI217" s="1096"/>
      <c r="AJ217" s="1096"/>
      <c r="AK217" s="1096"/>
      <c r="AL217" s="1096"/>
      <c r="AM217" s="1096"/>
      <c r="AN217" s="1096"/>
      <c r="AO217" s="1096"/>
      <c r="AP217" s="1096"/>
      <c r="AQ217" s="1096"/>
      <c r="AR217" s="1096"/>
      <c r="AS217" s="1096"/>
      <c r="AT217" s="1096"/>
      <c r="AU217" s="1096"/>
    </row>
    <row r="218" spans="1:47" s="1077" customFormat="1" x14ac:dyDescent="0.25">
      <c r="A218" s="99">
        <v>568</v>
      </c>
      <c r="B218" s="1088"/>
      <c r="C218" s="1098">
        <v>568</v>
      </c>
      <c r="D218" s="1098" t="s">
        <v>1133</v>
      </c>
      <c r="E218" s="1091"/>
      <c r="F218" s="1071"/>
      <c r="G218" s="1071"/>
      <c r="H218" s="1071"/>
      <c r="I218" s="1071"/>
      <c r="J218" s="1072"/>
      <c r="K218" s="1096"/>
      <c r="L218" s="1097"/>
      <c r="M218" s="1097"/>
      <c r="N218" s="1097"/>
      <c r="O218" s="1097"/>
      <c r="P218" s="1097"/>
      <c r="Q218" s="1097"/>
      <c r="R218" s="1097"/>
      <c r="S218" s="1097"/>
      <c r="T218" s="1097"/>
      <c r="U218" s="1097"/>
      <c r="V218" s="1097"/>
      <c r="W218" s="1097"/>
      <c r="X218" s="1097"/>
      <c r="Y218" s="1097"/>
      <c r="Z218" s="1097"/>
      <c r="AA218" s="1096"/>
      <c r="AB218" s="1096"/>
      <c r="AC218" s="1096"/>
      <c r="AD218" s="1096"/>
      <c r="AE218" s="1096"/>
      <c r="AF218" s="1096"/>
      <c r="AG218" s="1096"/>
      <c r="AH218" s="1096"/>
      <c r="AI218" s="1096"/>
      <c r="AJ218" s="1096"/>
      <c r="AK218" s="1096"/>
      <c r="AL218" s="1096"/>
      <c r="AM218" s="1096"/>
      <c r="AN218" s="1096"/>
      <c r="AO218" s="1096"/>
      <c r="AP218" s="1096"/>
      <c r="AQ218" s="1096"/>
      <c r="AR218" s="1096"/>
      <c r="AS218" s="1096"/>
      <c r="AT218" s="1096"/>
      <c r="AU218" s="1096"/>
    </row>
    <row r="219" spans="1:47" s="1077" customFormat="1" x14ac:dyDescent="0.25">
      <c r="A219" s="99">
        <v>569</v>
      </c>
      <c r="B219" s="1088"/>
      <c r="C219" s="1098">
        <v>569</v>
      </c>
      <c r="D219" s="1098" t="s">
        <v>1137</v>
      </c>
      <c r="E219" s="1091"/>
      <c r="F219" s="1071"/>
      <c r="G219" s="1071"/>
      <c r="H219" s="1071"/>
      <c r="I219" s="1071"/>
      <c r="J219" s="1072"/>
      <c r="K219" s="1096"/>
      <c r="L219" s="1097"/>
      <c r="M219" s="1097"/>
      <c r="N219" s="1097"/>
      <c r="O219" s="1097"/>
      <c r="P219" s="1097"/>
      <c r="Q219" s="1097"/>
      <c r="R219" s="1097"/>
      <c r="S219" s="1097"/>
      <c r="T219" s="1097"/>
      <c r="U219" s="1097"/>
      <c r="V219" s="1097"/>
      <c r="W219" s="1097"/>
      <c r="X219" s="1097"/>
      <c r="Y219" s="1097"/>
      <c r="Z219" s="1097"/>
      <c r="AA219" s="1096"/>
      <c r="AB219" s="1096"/>
      <c r="AC219" s="1096"/>
      <c r="AD219" s="1096"/>
      <c r="AE219" s="1096"/>
      <c r="AF219" s="1096"/>
      <c r="AG219" s="1096"/>
      <c r="AH219" s="1096"/>
      <c r="AI219" s="1096"/>
      <c r="AJ219" s="1096"/>
      <c r="AK219" s="1096"/>
      <c r="AL219" s="1096"/>
      <c r="AM219" s="1096"/>
      <c r="AN219" s="1096"/>
      <c r="AO219" s="1096"/>
      <c r="AP219" s="1096"/>
      <c r="AQ219" s="1096"/>
      <c r="AR219" s="1096"/>
      <c r="AS219" s="1096"/>
      <c r="AT219" s="1096"/>
      <c r="AU219" s="1096"/>
    </row>
    <row r="220" spans="1:47" s="1077" customFormat="1" x14ac:dyDescent="0.25">
      <c r="A220" s="99">
        <v>570</v>
      </c>
      <c r="B220" s="1088"/>
      <c r="C220" s="1098">
        <v>570</v>
      </c>
      <c r="D220" s="1098" t="s">
        <v>1521</v>
      </c>
      <c r="E220" s="1091"/>
      <c r="F220" s="1071"/>
      <c r="G220" s="1071"/>
      <c r="H220" s="1071"/>
      <c r="I220" s="1071"/>
      <c r="J220" s="1072"/>
      <c r="K220" s="1096"/>
      <c r="L220" s="1097"/>
      <c r="M220" s="1097"/>
      <c r="N220" s="1097"/>
      <c r="O220" s="1097"/>
      <c r="P220" s="1097"/>
      <c r="Q220" s="1097"/>
      <c r="R220" s="1097"/>
      <c r="S220" s="1097"/>
      <c r="T220" s="1097"/>
      <c r="U220" s="1097"/>
      <c r="V220" s="1097"/>
      <c r="W220" s="1097"/>
      <c r="X220" s="1097"/>
      <c r="Y220" s="1097"/>
      <c r="Z220" s="1097"/>
      <c r="AA220" s="1096"/>
      <c r="AB220" s="1096"/>
      <c r="AC220" s="1096"/>
      <c r="AD220" s="1096"/>
      <c r="AE220" s="1096"/>
      <c r="AF220" s="1096"/>
      <c r="AG220" s="1096"/>
      <c r="AH220" s="1096"/>
      <c r="AI220" s="1096"/>
      <c r="AJ220" s="1096"/>
      <c r="AK220" s="1096"/>
      <c r="AL220" s="1096"/>
      <c r="AM220" s="1096"/>
      <c r="AN220" s="1096"/>
      <c r="AO220" s="1096"/>
      <c r="AP220" s="1096"/>
      <c r="AQ220" s="1096"/>
      <c r="AR220" s="1096"/>
      <c r="AS220" s="1096"/>
      <c r="AT220" s="1096"/>
      <c r="AU220" s="1096"/>
    </row>
    <row r="221" spans="1:47" s="1077" customFormat="1" x14ac:dyDescent="0.25">
      <c r="A221" s="99">
        <v>571</v>
      </c>
      <c r="B221" s="1088"/>
      <c r="C221" s="1098">
        <v>571</v>
      </c>
      <c r="D221" s="1098" t="s">
        <v>1109</v>
      </c>
      <c r="E221" s="1091"/>
      <c r="F221" s="1071"/>
      <c r="G221" s="1071"/>
      <c r="H221" s="1071"/>
      <c r="I221" s="1071"/>
      <c r="J221" s="1072"/>
      <c r="K221" s="1096"/>
      <c r="L221" s="1097"/>
      <c r="M221" s="1097"/>
      <c r="N221" s="1097"/>
      <c r="O221" s="1097"/>
      <c r="P221" s="1097"/>
      <c r="Q221" s="1097"/>
      <c r="R221" s="1097"/>
      <c r="S221" s="1097"/>
      <c r="T221" s="1097"/>
      <c r="U221" s="1097"/>
      <c r="V221" s="1097"/>
      <c r="W221" s="1097"/>
      <c r="X221" s="1097"/>
      <c r="Y221" s="1097"/>
      <c r="Z221" s="1097"/>
      <c r="AA221" s="1096"/>
      <c r="AB221" s="1096"/>
      <c r="AC221" s="1096"/>
      <c r="AD221" s="1096"/>
      <c r="AE221" s="1096"/>
      <c r="AF221" s="1096"/>
      <c r="AG221" s="1096"/>
      <c r="AH221" s="1096"/>
      <c r="AI221" s="1096"/>
      <c r="AJ221" s="1096"/>
      <c r="AK221" s="1096"/>
      <c r="AL221" s="1096"/>
      <c r="AM221" s="1096"/>
      <c r="AN221" s="1096"/>
      <c r="AO221" s="1096"/>
      <c r="AP221" s="1096"/>
      <c r="AQ221" s="1096"/>
      <c r="AR221" s="1096"/>
      <c r="AS221" s="1096"/>
      <c r="AT221" s="1096"/>
      <c r="AU221" s="1096"/>
    </row>
    <row r="222" spans="1:47" s="1077" customFormat="1" x14ac:dyDescent="0.25">
      <c r="A222" s="99">
        <v>572</v>
      </c>
      <c r="B222" s="1088"/>
      <c r="C222" s="1098">
        <v>572</v>
      </c>
      <c r="D222" s="1098" t="s">
        <v>1110</v>
      </c>
      <c r="E222" s="1091"/>
      <c r="F222" s="1071"/>
      <c r="G222" s="1071"/>
      <c r="H222" s="1071"/>
      <c r="I222" s="1071"/>
      <c r="J222" s="1072"/>
      <c r="K222" s="1096"/>
      <c r="L222" s="1097"/>
      <c r="M222" s="1097"/>
      <c r="N222" s="1097"/>
      <c r="O222" s="1097"/>
      <c r="P222" s="1097"/>
      <c r="Q222" s="1097"/>
      <c r="R222" s="1097"/>
      <c r="S222" s="1097"/>
      <c r="T222" s="1097"/>
      <c r="U222" s="1097"/>
      <c r="V222" s="1097"/>
      <c r="W222" s="1097"/>
      <c r="X222" s="1097"/>
      <c r="Y222" s="1097"/>
      <c r="Z222" s="1097"/>
      <c r="AA222" s="1096"/>
      <c r="AB222" s="1096"/>
      <c r="AC222" s="1096"/>
      <c r="AD222" s="1096"/>
      <c r="AE222" s="1096"/>
      <c r="AF222" s="1096"/>
      <c r="AG222" s="1096"/>
      <c r="AH222" s="1096"/>
      <c r="AI222" s="1096"/>
      <c r="AJ222" s="1096"/>
      <c r="AK222" s="1096"/>
      <c r="AL222" s="1096"/>
      <c r="AM222" s="1096"/>
      <c r="AN222" s="1096"/>
      <c r="AO222" s="1096"/>
      <c r="AP222" s="1096"/>
      <c r="AQ222" s="1096"/>
      <c r="AR222" s="1096"/>
      <c r="AS222" s="1096"/>
      <c r="AT222" s="1096"/>
      <c r="AU222" s="1096"/>
    </row>
    <row r="223" spans="1:47" s="1077" customFormat="1" x14ac:dyDescent="0.25">
      <c r="A223" s="99">
        <v>573</v>
      </c>
      <c r="B223" s="1088"/>
      <c r="C223" s="1098">
        <v>573</v>
      </c>
      <c r="D223" s="1098" t="s">
        <v>1268</v>
      </c>
      <c r="E223" s="1091"/>
      <c r="F223" s="1071"/>
      <c r="G223" s="1071"/>
      <c r="H223" s="1071"/>
      <c r="I223" s="1071"/>
      <c r="J223" s="1072"/>
      <c r="K223" s="1096"/>
      <c r="L223" s="1097"/>
      <c r="M223" s="1097"/>
      <c r="N223" s="1097"/>
      <c r="O223" s="1097"/>
      <c r="P223" s="1097"/>
      <c r="Q223" s="1097"/>
      <c r="R223" s="1097"/>
      <c r="S223" s="1097"/>
      <c r="T223" s="1097"/>
      <c r="U223" s="1097"/>
      <c r="V223" s="1097"/>
      <c r="W223" s="1097"/>
      <c r="X223" s="1097"/>
      <c r="Y223" s="1097"/>
      <c r="Z223" s="1097"/>
      <c r="AA223" s="1096"/>
      <c r="AB223" s="1096"/>
      <c r="AC223" s="1096"/>
      <c r="AD223" s="1096"/>
      <c r="AE223" s="1096"/>
      <c r="AF223" s="1096"/>
      <c r="AG223" s="1096"/>
      <c r="AH223" s="1096"/>
      <c r="AI223" s="1096"/>
      <c r="AJ223" s="1096"/>
      <c r="AK223" s="1096"/>
      <c r="AL223" s="1096"/>
      <c r="AM223" s="1096"/>
      <c r="AN223" s="1096"/>
      <c r="AO223" s="1096"/>
      <c r="AP223" s="1096"/>
      <c r="AQ223" s="1096"/>
      <c r="AR223" s="1096"/>
      <c r="AS223" s="1096"/>
      <c r="AT223" s="1096"/>
      <c r="AU223" s="1096"/>
    </row>
    <row r="224" spans="1:47" s="1077" customFormat="1" x14ac:dyDescent="0.25">
      <c r="A224" s="99">
        <v>574</v>
      </c>
      <c r="B224" s="1088"/>
      <c r="C224" s="1098">
        <v>574</v>
      </c>
      <c r="D224" s="1098" t="s">
        <v>1522</v>
      </c>
      <c r="E224" s="1091"/>
      <c r="F224" s="1071"/>
      <c r="G224" s="1071"/>
      <c r="H224" s="1071"/>
      <c r="I224" s="1071"/>
      <c r="J224" s="1072"/>
      <c r="K224" s="1096"/>
      <c r="L224" s="1097"/>
      <c r="M224" s="1097"/>
      <c r="N224" s="1097"/>
      <c r="O224" s="1097"/>
      <c r="P224" s="1097"/>
      <c r="Q224" s="1097"/>
      <c r="R224" s="1097"/>
      <c r="S224" s="1097"/>
      <c r="T224" s="1097"/>
      <c r="U224" s="1097"/>
      <c r="V224" s="1097"/>
      <c r="W224" s="1097"/>
      <c r="X224" s="1097"/>
      <c r="Y224" s="1097"/>
      <c r="Z224" s="1097"/>
      <c r="AA224" s="1096"/>
      <c r="AB224" s="1096"/>
      <c r="AC224" s="1096"/>
      <c r="AD224" s="1096"/>
      <c r="AE224" s="1096"/>
      <c r="AF224" s="1096"/>
      <c r="AG224" s="1096"/>
      <c r="AH224" s="1096"/>
      <c r="AI224" s="1096"/>
      <c r="AJ224" s="1096"/>
      <c r="AK224" s="1096"/>
      <c r="AL224" s="1096"/>
      <c r="AM224" s="1096"/>
      <c r="AN224" s="1096"/>
      <c r="AO224" s="1096"/>
      <c r="AP224" s="1096"/>
      <c r="AQ224" s="1096"/>
      <c r="AR224" s="1096"/>
      <c r="AS224" s="1096"/>
      <c r="AT224" s="1096"/>
      <c r="AU224" s="1096"/>
    </row>
    <row r="225" spans="1:47" s="1077" customFormat="1" x14ac:dyDescent="0.25">
      <c r="A225" s="99">
        <v>575</v>
      </c>
      <c r="B225" s="1088">
        <v>575</v>
      </c>
      <c r="C225" s="1098">
        <v>575</v>
      </c>
      <c r="D225" s="1098" t="s">
        <v>341</v>
      </c>
      <c r="E225" s="1091">
        <v>0</v>
      </c>
      <c r="F225" s="1071">
        <v>0</v>
      </c>
      <c r="G225" s="1071">
        <v>0</v>
      </c>
      <c r="H225" s="1071">
        <v>0</v>
      </c>
      <c r="I225" s="1071">
        <v>0</v>
      </c>
      <c r="J225" s="1072">
        <v>0</v>
      </c>
      <c r="K225" s="1096">
        <v>0</v>
      </c>
      <c r="L225" s="1097">
        <v>0</v>
      </c>
      <c r="M225" s="1097">
        <v>0</v>
      </c>
      <c r="N225" s="1097">
        <v>0</v>
      </c>
      <c r="O225" s="1097">
        <v>0</v>
      </c>
      <c r="P225" s="1097">
        <v>0</v>
      </c>
      <c r="Q225" s="1097">
        <v>0</v>
      </c>
      <c r="R225" s="1097">
        <v>0</v>
      </c>
      <c r="S225" s="1097">
        <v>0</v>
      </c>
      <c r="T225" s="1097">
        <v>0</v>
      </c>
      <c r="U225" s="1097">
        <v>0</v>
      </c>
      <c r="V225" s="1097">
        <v>0</v>
      </c>
      <c r="W225" s="1097">
        <v>0</v>
      </c>
      <c r="X225" s="1097">
        <v>0</v>
      </c>
      <c r="Y225" s="1097">
        <v>0</v>
      </c>
      <c r="Z225" s="1097">
        <v>0</v>
      </c>
      <c r="AA225" s="1096">
        <v>0</v>
      </c>
      <c r="AB225" s="1096">
        <v>0</v>
      </c>
      <c r="AC225" s="1096">
        <v>0</v>
      </c>
      <c r="AD225" s="1096">
        <v>0</v>
      </c>
      <c r="AE225" s="1096">
        <v>0</v>
      </c>
      <c r="AF225" s="1096">
        <v>0</v>
      </c>
      <c r="AG225" s="1096">
        <v>0</v>
      </c>
      <c r="AH225" s="1096">
        <v>0</v>
      </c>
      <c r="AI225" s="1096">
        <v>0</v>
      </c>
      <c r="AJ225" s="1096">
        <v>0</v>
      </c>
      <c r="AK225" s="1096">
        <v>0</v>
      </c>
      <c r="AL225" s="1096">
        <v>25113873</v>
      </c>
      <c r="AM225" s="1096">
        <v>0</v>
      </c>
      <c r="AN225" s="1096">
        <v>0</v>
      </c>
      <c r="AO225" s="1096">
        <v>0</v>
      </c>
      <c r="AP225" s="1096">
        <v>0</v>
      </c>
      <c r="AQ225" s="1096">
        <v>0</v>
      </c>
      <c r="AR225" s="1096">
        <v>0</v>
      </c>
      <c r="AS225" s="1096">
        <v>0</v>
      </c>
      <c r="AT225" s="1096">
        <v>0</v>
      </c>
      <c r="AU225" s="1096">
        <v>0</v>
      </c>
    </row>
    <row r="226" spans="1:47" s="1077" customFormat="1" x14ac:dyDescent="0.25">
      <c r="A226" s="99">
        <v>576</v>
      </c>
      <c r="B226" s="1088">
        <v>576</v>
      </c>
      <c r="C226" s="1098">
        <v>576</v>
      </c>
      <c r="D226" s="1098" t="s">
        <v>342</v>
      </c>
      <c r="E226" s="1091">
        <v>0</v>
      </c>
      <c r="F226" s="1071">
        <v>0</v>
      </c>
      <c r="G226" s="1071">
        <v>0</v>
      </c>
      <c r="H226" s="1071">
        <v>0</v>
      </c>
      <c r="I226" s="1071">
        <v>0</v>
      </c>
      <c r="J226" s="1072">
        <v>0</v>
      </c>
      <c r="K226" s="1096">
        <v>0</v>
      </c>
      <c r="L226" s="1097">
        <v>0</v>
      </c>
      <c r="M226" s="1097">
        <v>0</v>
      </c>
      <c r="N226" s="1097">
        <v>0</v>
      </c>
      <c r="O226" s="1097">
        <v>0</v>
      </c>
      <c r="P226" s="1097">
        <v>0</v>
      </c>
      <c r="Q226" s="1097">
        <v>0</v>
      </c>
      <c r="R226" s="1097">
        <v>0</v>
      </c>
      <c r="S226" s="1097">
        <v>0</v>
      </c>
      <c r="T226" s="1097">
        <v>0</v>
      </c>
      <c r="U226" s="1097">
        <v>0</v>
      </c>
      <c r="V226" s="1097">
        <v>0</v>
      </c>
      <c r="W226" s="1097">
        <v>0</v>
      </c>
      <c r="X226" s="1097">
        <v>0</v>
      </c>
      <c r="Y226" s="1097">
        <v>0</v>
      </c>
      <c r="Z226" s="1097">
        <v>0</v>
      </c>
      <c r="AA226" s="1096">
        <v>0</v>
      </c>
      <c r="AB226" s="1096">
        <v>0</v>
      </c>
      <c r="AC226" s="1096">
        <v>0</v>
      </c>
      <c r="AD226" s="1096">
        <v>0</v>
      </c>
      <c r="AE226" s="1096">
        <v>0</v>
      </c>
      <c r="AF226" s="1096">
        <v>0</v>
      </c>
      <c r="AG226" s="1096">
        <v>0</v>
      </c>
      <c r="AH226" s="1096">
        <v>0</v>
      </c>
      <c r="AI226" s="1096">
        <v>0</v>
      </c>
      <c r="AJ226" s="1096">
        <v>0</v>
      </c>
      <c r="AK226" s="1096">
        <v>0</v>
      </c>
      <c r="AL226" s="1096">
        <v>0</v>
      </c>
      <c r="AM226" s="1096">
        <v>0</v>
      </c>
      <c r="AN226" s="1096">
        <v>0</v>
      </c>
      <c r="AO226" s="1096">
        <v>0</v>
      </c>
      <c r="AP226" s="1096">
        <v>0</v>
      </c>
      <c r="AQ226" s="1096">
        <v>0</v>
      </c>
      <c r="AR226" s="1096">
        <v>0</v>
      </c>
      <c r="AS226" s="1096">
        <v>0</v>
      </c>
      <c r="AT226" s="1096">
        <v>0</v>
      </c>
      <c r="AU226" s="1096">
        <v>0</v>
      </c>
    </row>
    <row r="227" spans="1:47" s="1077" customFormat="1" x14ac:dyDescent="0.25">
      <c r="A227" s="99">
        <v>577</v>
      </c>
      <c r="B227" s="1088">
        <v>577</v>
      </c>
      <c r="C227" s="1098">
        <v>577</v>
      </c>
      <c r="D227" s="1098" t="s">
        <v>397</v>
      </c>
      <c r="E227" s="1091">
        <v>0</v>
      </c>
      <c r="F227" s="1071">
        <v>2</v>
      </c>
      <c r="G227" s="1071">
        <v>2</v>
      </c>
      <c r="H227" s="1071">
        <v>2</v>
      </c>
      <c r="I227" s="1071">
        <v>2</v>
      </c>
      <c r="J227" s="1072">
        <v>2</v>
      </c>
      <c r="K227" s="1096">
        <v>2</v>
      </c>
      <c r="L227" s="1097">
        <v>0</v>
      </c>
      <c r="M227" s="1097">
        <v>2</v>
      </c>
      <c r="N227" s="1097">
        <v>2</v>
      </c>
      <c r="O227" s="1097">
        <v>2</v>
      </c>
      <c r="P227" s="1097">
        <v>0</v>
      </c>
      <c r="Q227" s="1097">
        <v>2</v>
      </c>
      <c r="R227" s="1097">
        <v>0</v>
      </c>
      <c r="S227" s="1097">
        <v>2</v>
      </c>
      <c r="T227" s="1097">
        <v>0</v>
      </c>
      <c r="U227" s="1097">
        <v>2</v>
      </c>
      <c r="V227" s="1097">
        <v>2</v>
      </c>
      <c r="W227" s="1097">
        <v>2</v>
      </c>
      <c r="X227" s="1097">
        <v>2</v>
      </c>
      <c r="Y227" s="1097">
        <v>2</v>
      </c>
      <c r="Z227" s="1097">
        <v>2</v>
      </c>
      <c r="AA227" s="1096">
        <v>2</v>
      </c>
      <c r="AB227" s="1096">
        <v>0</v>
      </c>
      <c r="AC227" s="1096">
        <v>2</v>
      </c>
      <c r="AD227" s="1096">
        <v>0</v>
      </c>
      <c r="AE227" s="1096">
        <v>2</v>
      </c>
      <c r="AF227" s="1096">
        <v>2</v>
      </c>
      <c r="AG227" s="1096">
        <v>2</v>
      </c>
      <c r="AH227" s="1096">
        <v>2</v>
      </c>
      <c r="AI227" s="1096">
        <v>0</v>
      </c>
      <c r="AJ227" s="1096">
        <v>2</v>
      </c>
      <c r="AK227" s="1096">
        <v>2</v>
      </c>
      <c r="AL227" s="1096">
        <v>2</v>
      </c>
      <c r="AM227" s="1096">
        <v>0</v>
      </c>
      <c r="AN227" s="1096">
        <v>0</v>
      </c>
      <c r="AO227" s="1096">
        <v>2</v>
      </c>
      <c r="AP227" s="1096">
        <v>2</v>
      </c>
      <c r="AQ227" s="1096">
        <v>2</v>
      </c>
      <c r="AR227" s="1096">
        <v>2</v>
      </c>
      <c r="AS227" s="1096">
        <v>2</v>
      </c>
      <c r="AT227" s="1096">
        <v>2</v>
      </c>
      <c r="AU227" s="1096">
        <v>2</v>
      </c>
    </row>
    <row r="228" spans="1:47" s="1077" customFormat="1" x14ac:dyDescent="0.25">
      <c r="A228" s="99">
        <v>578</v>
      </c>
      <c r="B228" s="99"/>
      <c r="C228" s="1098">
        <v>578</v>
      </c>
      <c r="D228" s="1098" t="s">
        <v>398</v>
      </c>
      <c r="E228" s="1091">
        <v>0</v>
      </c>
      <c r="F228" s="1071">
        <v>0</v>
      </c>
      <c r="G228" s="1071">
        <v>0</v>
      </c>
      <c r="H228" s="1071">
        <v>0</v>
      </c>
      <c r="I228" s="1071">
        <v>0</v>
      </c>
      <c r="J228" s="1072">
        <v>0</v>
      </c>
      <c r="K228" s="1096">
        <v>0</v>
      </c>
      <c r="L228" s="1097">
        <v>0</v>
      </c>
      <c r="M228" s="1097">
        <v>0</v>
      </c>
      <c r="N228" s="1097">
        <v>0</v>
      </c>
      <c r="O228" s="1097">
        <v>0</v>
      </c>
      <c r="P228" s="1097">
        <v>0</v>
      </c>
      <c r="Q228" s="1097">
        <v>0</v>
      </c>
      <c r="R228" s="1097">
        <v>0</v>
      </c>
      <c r="S228" s="1097">
        <v>0</v>
      </c>
      <c r="T228" s="1097">
        <v>0</v>
      </c>
      <c r="U228" s="1097">
        <v>0</v>
      </c>
      <c r="V228" s="1097">
        <v>0</v>
      </c>
      <c r="W228" s="1097">
        <v>0</v>
      </c>
      <c r="X228" s="1097">
        <v>0</v>
      </c>
      <c r="Y228" s="1097">
        <v>0</v>
      </c>
      <c r="Z228" s="1097">
        <v>0</v>
      </c>
      <c r="AA228" s="1096">
        <v>0</v>
      </c>
      <c r="AB228" s="1096">
        <v>0</v>
      </c>
      <c r="AC228" s="1096">
        <v>0</v>
      </c>
      <c r="AD228" s="1096">
        <v>0</v>
      </c>
      <c r="AE228" s="1096">
        <v>0</v>
      </c>
      <c r="AF228" s="1096">
        <v>0</v>
      </c>
      <c r="AG228" s="1096">
        <v>0</v>
      </c>
      <c r="AH228" s="1096">
        <v>0</v>
      </c>
      <c r="AI228" s="1096">
        <v>0</v>
      </c>
      <c r="AJ228" s="1096">
        <v>0</v>
      </c>
      <c r="AK228" s="1096">
        <v>0</v>
      </c>
      <c r="AL228" s="1096">
        <v>0</v>
      </c>
      <c r="AM228" s="1096">
        <v>0</v>
      </c>
      <c r="AN228" s="1096">
        <v>0</v>
      </c>
      <c r="AO228" s="1096">
        <v>0</v>
      </c>
      <c r="AP228" s="1096">
        <v>0</v>
      </c>
      <c r="AQ228" s="1096">
        <v>0</v>
      </c>
      <c r="AR228" s="1096">
        <v>0</v>
      </c>
      <c r="AS228" s="1096">
        <v>0</v>
      </c>
      <c r="AT228" s="1096">
        <v>0</v>
      </c>
      <c r="AU228" s="1096">
        <v>0</v>
      </c>
    </row>
    <row r="229" spans="1:47" s="1077" customFormat="1" x14ac:dyDescent="0.25">
      <c r="A229" s="99">
        <v>579</v>
      </c>
      <c r="B229" s="1099"/>
      <c r="C229" s="1098">
        <v>579</v>
      </c>
      <c r="D229" s="1098" t="s">
        <v>399</v>
      </c>
      <c r="E229" s="1091">
        <v>0</v>
      </c>
      <c r="F229" s="1071">
        <v>0</v>
      </c>
      <c r="G229" s="1071">
        <v>0</v>
      </c>
      <c r="H229" s="1071">
        <v>0</v>
      </c>
      <c r="I229" s="1071">
        <v>0</v>
      </c>
      <c r="J229" s="1072">
        <v>0</v>
      </c>
      <c r="K229" s="1096">
        <v>0</v>
      </c>
      <c r="L229" s="1097">
        <v>0</v>
      </c>
      <c r="M229" s="1097">
        <v>0</v>
      </c>
      <c r="N229" s="1097">
        <v>0</v>
      </c>
      <c r="O229" s="1097">
        <v>0</v>
      </c>
      <c r="P229" s="1097">
        <v>0</v>
      </c>
      <c r="Q229" s="1097">
        <v>0</v>
      </c>
      <c r="R229" s="1097">
        <v>0</v>
      </c>
      <c r="S229" s="1097">
        <v>0</v>
      </c>
      <c r="T229" s="1097">
        <v>0</v>
      </c>
      <c r="U229" s="1097">
        <v>0</v>
      </c>
      <c r="V229" s="1097">
        <v>0</v>
      </c>
      <c r="W229" s="1097">
        <v>0</v>
      </c>
      <c r="X229" s="1097">
        <v>0</v>
      </c>
      <c r="Y229" s="1097">
        <v>0</v>
      </c>
      <c r="Z229" s="1097">
        <v>0</v>
      </c>
      <c r="AA229" s="1096">
        <v>0</v>
      </c>
      <c r="AB229" s="1096">
        <v>0</v>
      </c>
      <c r="AC229" s="1096">
        <v>0</v>
      </c>
      <c r="AD229" s="1096">
        <v>0</v>
      </c>
      <c r="AE229" s="1096">
        <v>0</v>
      </c>
      <c r="AF229" s="1096">
        <v>0</v>
      </c>
      <c r="AG229" s="1096">
        <v>0</v>
      </c>
      <c r="AH229" s="1096">
        <v>0</v>
      </c>
      <c r="AI229" s="1096">
        <v>0</v>
      </c>
      <c r="AJ229" s="1096">
        <v>0</v>
      </c>
      <c r="AK229" s="1096">
        <v>0</v>
      </c>
      <c r="AL229" s="1096">
        <v>0</v>
      </c>
      <c r="AM229" s="1096">
        <v>0</v>
      </c>
      <c r="AN229" s="1096">
        <v>0</v>
      </c>
      <c r="AO229" s="1096">
        <v>0</v>
      </c>
      <c r="AP229" s="1096">
        <v>0</v>
      </c>
      <c r="AQ229" s="1096">
        <v>0</v>
      </c>
      <c r="AR229" s="1096">
        <v>0</v>
      </c>
      <c r="AS229" s="1096">
        <v>0</v>
      </c>
      <c r="AT229" s="1096">
        <v>0</v>
      </c>
      <c r="AU229" s="1096">
        <v>0</v>
      </c>
    </row>
    <row r="230" spans="1:47" s="1077" customFormat="1" x14ac:dyDescent="0.25">
      <c r="A230" s="99">
        <v>580</v>
      </c>
      <c r="B230" s="1099"/>
      <c r="C230" s="1098">
        <v>580</v>
      </c>
      <c r="D230" s="1098" t="s">
        <v>400</v>
      </c>
      <c r="E230" s="1091">
        <v>0</v>
      </c>
      <c r="F230" s="1071">
        <v>0</v>
      </c>
      <c r="G230" s="1071">
        <v>0</v>
      </c>
      <c r="H230" s="1071">
        <v>0</v>
      </c>
      <c r="I230" s="1071">
        <v>0</v>
      </c>
      <c r="J230" s="1072">
        <v>0</v>
      </c>
      <c r="K230" s="1096">
        <v>0</v>
      </c>
      <c r="L230" s="1097">
        <v>0</v>
      </c>
      <c r="M230" s="1097">
        <v>0</v>
      </c>
      <c r="N230" s="1097">
        <v>0</v>
      </c>
      <c r="O230" s="1097">
        <v>0</v>
      </c>
      <c r="P230" s="1097">
        <v>0</v>
      </c>
      <c r="Q230" s="1097">
        <v>0</v>
      </c>
      <c r="R230" s="1097">
        <v>0</v>
      </c>
      <c r="S230" s="1097">
        <v>0</v>
      </c>
      <c r="T230" s="1097">
        <v>0</v>
      </c>
      <c r="U230" s="1097">
        <v>0</v>
      </c>
      <c r="V230" s="1097">
        <v>0</v>
      </c>
      <c r="W230" s="1097">
        <v>0</v>
      </c>
      <c r="X230" s="1097">
        <v>0</v>
      </c>
      <c r="Y230" s="1097">
        <v>0</v>
      </c>
      <c r="Z230" s="1097">
        <v>0</v>
      </c>
      <c r="AA230" s="1096">
        <v>0</v>
      </c>
      <c r="AB230" s="1096">
        <v>0</v>
      </c>
      <c r="AC230" s="1096">
        <v>0</v>
      </c>
      <c r="AD230" s="1096">
        <v>0</v>
      </c>
      <c r="AE230" s="1096">
        <v>0</v>
      </c>
      <c r="AF230" s="1096">
        <v>0</v>
      </c>
      <c r="AG230" s="1096">
        <v>0</v>
      </c>
      <c r="AH230" s="1096">
        <v>0</v>
      </c>
      <c r="AI230" s="1096">
        <v>0</v>
      </c>
      <c r="AJ230" s="1096">
        <v>0</v>
      </c>
      <c r="AK230" s="1096">
        <v>0</v>
      </c>
      <c r="AL230" s="1096">
        <v>0</v>
      </c>
      <c r="AM230" s="1096">
        <v>0</v>
      </c>
      <c r="AN230" s="1096">
        <v>0</v>
      </c>
      <c r="AO230" s="1096">
        <v>0</v>
      </c>
      <c r="AP230" s="1096">
        <v>0</v>
      </c>
      <c r="AQ230" s="1096">
        <v>0</v>
      </c>
      <c r="AR230" s="1096">
        <v>0</v>
      </c>
      <c r="AS230" s="1096">
        <v>0</v>
      </c>
      <c r="AT230" s="1096">
        <v>0</v>
      </c>
      <c r="AU230" s="1096">
        <v>0</v>
      </c>
    </row>
    <row r="231" spans="1:47" s="1077" customFormat="1" x14ac:dyDescent="0.25">
      <c r="A231" s="99">
        <v>581</v>
      </c>
      <c r="B231" s="1099"/>
      <c r="C231" s="1098">
        <v>581</v>
      </c>
      <c r="D231" s="1098" t="s">
        <v>401</v>
      </c>
      <c r="E231" s="1091">
        <v>0</v>
      </c>
      <c r="F231" s="1071">
        <v>0</v>
      </c>
      <c r="G231" s="1071">
        <v>0</v>
      </c>
      <c r="H231" s="1071">
        <v>0</v>
      </c>
      <c r="I231" s="1071">
        <v>0</v>
      </c>
      <c r="J231" s="1072">
        <v>0</v>
      </c>
      <c r="K231" s="1096">
        <v>0</v>
      </c>
      <c r="L231" s="1097">
        <v>0</v>
      </c>
      <c r="M231" s="1097">
        <v>0</v>
      </c>
      <c r="N231" s="1097">
        <v>0</v>
      </c>
      <c r="O231" s="1097">
        <v>0</v>
      </c>
      <c r="P231" s="1097">
        <v>0</v>
      </c>
      <c r="Q231" s="1097">
        <v>0</v>
      </c>
      <c r="R231" s="1097">
        <v>0</v>
      </c>
      <c r="S231" s="1097">
        <v>0</v>
      </c>
      <c r="T231" s="1097">
        <v>0</v>
      </c>
      <c r="U231" s="1097">
        <v>0</v>
      </c>
      <c r="V231" s="1097">
        <v>0</v>
      </c>
      <c r="W231" s="1097">
        <v>0</v>
      </c>
      <c r="X231" s="1097">
        <v>0</v>
      </c>
      <c r="Y231" s="1097">
        <v>0</v>
      </c>
      <c r="Z231" s="1097">
        <v>0</v>
      </c>
      <c r="AA231" s="1096">
        <v>0</v>
      </c>
      <c r="AB231" s="1096">
        <v>0</v>
      </c>
      <c r="AC231" s="1096">
        <v>0</v>
      </c>
      <c r="AD231" s="1096">
        <v>0</v>
      </c>
      <c r="AE231" s="1096">
        <v>0</v>
      </c>
      <c r="AF231" s="1096">
        <v>0</v>
      </c>
      <c r="AG231" s="1096">
        <v>0</v>
      </c>
      <c r="AH231" s="1096">
        <v>0</v>
      </c>
      <c r="AI231" s="1096">
        <v>0</v>
      </c>
      <c r="AJ231" s="1096">
        <v>0</v>
      </c>
      <c r="AK231" s="1096">
        <v>0</v>
      </c>
      <c r="AL231" s="1096">
        <v>0</v>
      </c>
      <c r="AM231" s="1096">
        <v>0</v>
      </c>
      <c r="AN231" s="1096">
        <v>0</v>
      </c>
      <c r="AO231" s="1096">
        <v>0</v>
      </c>
      <c r="AP231" s="1096">
        <v>0</v>
      </c>
      <c r="AQ231" s="1096">
        <v>0</v>
      </c>
      <c r="AR231" s="1096">
        <v>0</v>
      </c>
      <c r="AS231" s="1096">
        <v>0</v>
      </c>
      <c r="AT231" s="1096">
        <v>0</v>
      </c>
      <c r="AU231" s="1096">
        <v>0</v>
      </c>
    </row>
    <row r="232" spans="1:47" s="1077" customFormat="1" x14ac:dyDescent="0.25">
      <c r="A232" s="99">
        <v>582</v>
      </c>
      <c r="B232" s="1099"/>
      <c r="C232" s="1098">
        <v>582</v>
      </c>
      <c r="D232" s="1098" t="s">
        <v>402</v>
      </c>
      <c r="E232" s="1091">
        <v>0</v>
      </c>
      <c r="F232" s="1071">
        <v>0</v>
      </c>
      <c r="G232" s="1071">
        <v>0</v>
      </c>
      <c r="H232" s="1071">
        <v>0</v>
      </c>
      <c r="I232" s="1071">
        <v>0</v>
      </c>
      <c r="J232" s="1072">
        <v>0</v>
      </c>
      <c r="K232" s="1096">
        <v>0</v>
      </c>
      <c r="L232" s="1097">
        <v>0</v>
      </c>
      <c r="M232" s="1097">
        <v>0</v>
      </c>
      <c r="N232" s="1097">
        <v>0</v>
      </c>
      <c r="O232" s="1097">
        <v>0</v>
      </c>
      <c r="P232" s="1097">
        <v>0</v>
      </c>
      <c r="Q232" s="1097">
        <v>0</v>
      </c>
      <c r="R232" s="1097">
        <v>0</v>
      </c>
      <c r="S232" s="1097">
        <v>0</v>
      </c>
      <c r="T232" s="1097">
        <v>0</v>
      </c>
      <c r="U232" s="1097">
        <v>0</v>
      </c>
      <c r="V232" s="1097">
        <v>0</v>
      </c>
      <c r="W232" s="1097">
        <v>0</v>
      </c>
      <c r="X232" s="1097">
        <v>0</v>
      </c>
      <c r="Y232" s="1097">
        <v>0</v>
      </c>
      <c r="Z232" s="1097">
        <v>0</v>
      </c>
      <c r="AA232" s="1096">
        <v>0</v>
      </c>
      <c r="AB232" s="1096">
        <v>0</v>
      </c>
      <c r="AC232" s="1096">
        <v>0</v>
      </c>
      <c r="AD232" s="1096">
        <v>0</v>
      </c>
      <c r="AE232" s="1096">
        <v>0</v>
      </c>
      <c r="AF232" s="1096">
        <v>0</v>
      </c>
      <c r="AG232" s="1096">
        <v>0</v>
      </c>
      <c r="AH232" s="1096">
        <v>0</v>
      </c>
      <c r="AI232" s="1096">
        <v>0</v>
      </c>
      <c r="AJ232" s="1096">
        <v>0</v>
      </c>
      <c r="AK232" s="1096">
        <v>0</v>
      </c>
      <c r="AL232" s="1096">
        <v>0</v>
      </c>
      <c r="AM232" s="1096">
        <v>0</v>
      </c>
      <c r="AN232" s="1096">
        <v>0</v>
      </c>
      <c r="AO232" s="1096">
        <v>0</v>
      </c>
      <c r="AP232" s="1096">
        <v>0</v>
      </c>
      <c r="AQ232" s="1096">
        <v>0</v>
      </c>
      <c r="AR232" s="1096">
        <v>0</v>
      </c>
      <c r="AS232" s="1096">
        <v>0</v>
      </c>
      <c r="AT232" s="1096">
        <v>0</v>
      </c>
      <c r="AU232" s="1096">
        <v>0</v>
      </c>
    </row>
    <row r="233" spans="1:47" s="1077" customFormat="1" x14ac:dyDescent="0.25">
      <c r="A233" s="99">
        <v>583</v>
      </c>
      <c r="B233" s="1099"/>
      <c r="C233" s="1098">
        <v>583</v>
      </c>
      <c r="D233" s="1098" t="s">
        <v>403</v>
      </c>
      <c r="E233" s="1091">
        <v>0</v>
      </c>
      <c r="F233" s="1071">
        <v>0</v>
      </c>
      <c r="G233" s="1071">
        <v>0</v>
      </c>
      <c r="H233" s="1071">
        <v>0</v>
      </c>
      <c r="I233" s="1071">
        <v>0</v>
      </c>
      <c r="J233" s="1072">
        <v>0</v>
      </c>
      <c r="K233" s="1096">
        <v>0</v>
      </c>
      <c r="L233" s="1097">
        <v>0</v>
      </c>
      <c r="M233" s="1097">
        <v>0</v>
      </c>
      <c r="N233" s="1097">
        <v>0</v>
      </c>
      <c r="O233" s="1097">
        <v>0</v>
      </c>
      <c r="P233" s="1097">
        <v>0</v>
      </c>
      <c r="Q233" s="1097">
        <v>0</v>
      </c>
      <c r="R233" s="1097">
        <v>0</v>
      </c>
      <c r="S233" s="1097">
        <v>0</v>
      </c>
      <c r="T233" s="1097">
        <v>0</v>
      </c>
      <c r="U233" s="1097">
        <v>0</v>
      </c>
      <c r="V233" s="1097">
        <v>0</v>
      </c>
      <c r="W233" s="1097">
        <v>0</v>
      </c>
      <c r="X233" s="1097">
        <v>0</v>
      </c>
      <c r="Y233" s="1097">
        <v>0</v>
      </c>
      <c r="Z233" s="1097">
        <v>0</v>
      </c>
      <c r="AA233" s="1096">
        <v>0</v>
      </c>
      <c r="AB233" s="1096">
        <v>0</v>
      </c>
      <c r="AC233" s="1096">
        <v>0</v>
      </c>
      <c r="AD233" s="1096">
        <v>0</v>
      </c>
      <c r="AE233" s="1096">
        <v>0</v>
      </c>
      <c r="AF233" s="1096">
        <v>0</v>
      </c>
      <c r="AG233" s="1096">
        <v>0</v>
      </c>
      <c r="AH233" s="1096">
        <v>0</v>
      </c>
      <c r="AI233" s="1096">
        <v>0</v>
      </c>
      <c r="AJ233" s="1096">
        <v>0</v>
      </c>
      <c r="AK233" s="1096">
        <v>0</v>
      </c>
      <c r="AL233" s="1096">
        <v>0</v>
      </c>
      <c r="AM233" s="1096">
        <v>0</v>
      </c>
      <c r="AN233" s="1096">
        <v>0</v>
      </c>
      <c r="AO233" s="1096">
        <v>0</v>
      </c>
      <c r="AP233" s="1096">
        <v>0</v>
      </c>
      <c r="AQ233" s="1096">
        <v>0</v>
      </c>
      <c r="AR233" s="1096">
        <v>0</v>
      </c>
      <c r="AS233" s="1096">
        <v>0</v>
      </c>
      <c r="AT233" s="1096">
        <v>0</v>
      </c>
      <c r="AU233" s="1096">
        <v>0</v>
      </c>
    </row>
    <row r="234" spans="1:47" s="1077" customFormat="1" x14ac:dyDescent="0.25">
      <c r="A234" s="99">
        <v>584</v>
      </c>
      <c r="B234" s="1099"/>
      <c r="C234" s="1098">
        <v>584</v>
      </c>
      <c r="D234" s="1098" t="s">
        <v>404</v>
      </c>
      <c r="E234" s="1091">
        <v>0</v>
      </c>
      <c r="F234" s="1071">
        <v>0</v>
      </c>
      <c r="G234" s="1071">
        <v>0</v>
      </c>
      <c r="H234" s="1071">
        <v>0</v>
      </c>
      <c r="I234" s="1071">
        <v>0</v>
      </c>
      <c r="J234" s="1072">
        <v>0</v>
      </c>
      <c r="K234" s="1096">
        <v>0</v>
      </c>
      <c r="L234" s="1097">
        <v>0</v>
      </c>
      <c r="M234" s="1097">
        <v>0</v>
      </c>
      <c r="N234" s="1097">
        <v>0</v>
      </c>
      <c r="O234" s="1097">
        <v>0</v>
      </c>
      <c r="P234" s="1097">
        <v>0</v>
      </c>
      <c r="Q234" s="1097">
        <v>0</v>
      </c>
      <c r="R234" s="1097">
        <v>0</v>
      </c>
      <c r="S234" s="1097">
        <v>0</v>
      </c>
      <c r="T234" s="1097">
        <v>0</v>
      </c>
      <c r="U234" s="1097">
        <v>0</v>
      </c>
      <c r="V234" s="1097">
        <v>0</v>
      </c>
      <c r="W234" s="1097">
        <v>0</v>
      </c>
      <c r="X234" s="1097">
        <v>0</v>
      </c>
      <c r="Y234" s="1097">
        <v>0</v>
      </c>
      <c r="Z234" s="1097">
        <v>0</v>
      </c>
      <c r="AA234" s="1096">
        <v>0</v>
      </c>
      <c r="AB234" s="1096">
        <v>0</v>
      </c>
      <c r="AC234" s="1096">
        <v>0</v>
      </c>
      <c r="AD234" s="1096">
        <v>0</v>
      </c>
      <c r="AE234" s="1096">
        <v>0</v>
      </c>
      <c r="AF234" s="1096">
        <v>0</v>
      </c>
      <c r="AG234" s="1096">
        <v>0</v>
      </c>
      <c r="AH234" s="1096">
        <v>0</v>
      </c>
      <c r="AI234" s="1096">
        <v>0</v>
      </c>
      <c r="AJ234" s="1096">
        <v>0</v>
      </c>
      <c r="AK234" s="1096">
        <v>0</v>
      </c>
      <c r="AL234" s="1096">
        <v>0</v>
      </c>
      <c r="AM234" s="1096">
        <v>0</v>
      </c>
      <c r="AN234" s="1096">
        <v>0</v>
      </c>
      <c r="AO234" s="1096">
        <v>0</v>
      </c>
      <c r="AP234" s="1096">
        <v>0</v>
      </c>
      <c r="AQ234" s="1096">
        <v>0</v>
      </c>
      <c r="AR234" s="1096">
        <v>0</v>
      </c>
      <c r="AS234" s="1096">
        <v>0</v>
      </c>
      <c r="AT234" s="1096">
        <v>0</v>
      </c>
      <c r="AU234" s="1096">
        <v>0</v>
      </c>
    </row>
    <row r="235" spans="1:47" s="1077" customFormat="1" x14ac:dyDescent="0.25">
      <c r="A235" s="99">
        <v>585</v>
      </c>
      <c r="B235" s="1099"/>
      <c r="C235" s="1098">
        <v>585</v>
      </c>
      <c r="D235" s="1098" t="s">
        <v>405</v>
      </c>
      <c r="E235" s="1091">
        <v>0</v>
      </c>
      <c r="F235" s="1071">
        <v>0</v>
      </c>
      <c r="G235" s="1071">
        <v>0</v>
      </c>
      <c r="H235" s="1071">
        <v>0</v>
      </c>
      <c r="I235" s="1071">
        <v>0</v>
      </c>
      <c r="J235" s="1072">
        <v>0</v>
      </c>
      <c r="K235" s="1096">
        <v>0</v>
      </c>
      <c r="L235" s="1097">
        <v>0</v>
      </c>
      <c r="M235" s="1097">
        <v>0</v>
      </c>
      <c r="N235" s="1097">
        <v>0</v>
      </c>
      <c r="O235" s="1097">
        <v>0</v>
      </c>
      <c r="P235" s="1097">
        <v>0</v>
      </c>
      <c r="Q235" s="1097">
        <v>0</v>
      </c>
      <c r="R235" s="1097">
        <v>0</v>
      </c>
      <c r="S235" s="1097">
        <v>0</v>
      </c>
      <c r="T235" s="1097">
        <v>0</v>
      </c>
      <c r="U235" s="1097">
        <v>0</v>
      </c>
      <c r="V235" s="1097">
        <v>0</v>
      </c>
      <c r="W235" s="1097">
        <v>0</v>
      </c>
      <c r="X235" s="1097">
        <v>0</v>
      </c>
      <c r="Y235" s="1097">
        <v>0</v>
      </c>
      <c r="Z235" s="1097">
        <v>0</v>
      </c>
      <c r="AA235" s="1096">
        <v>0</v>
      </c>
      <c r="AB235" s="1096">
        <v>0</v>
      </c>
      <c r="AC235" s="1096">
        <v>0</v>
      </c>
      <c r="AD235" s="1096">
        <v>0</v>
      </c>
      <c r="AE235" s="1096">
        <v>0</v>
      </c>
      <c r="AF235" s="1096">
        <v>0</v>
      </c>
      <c r="AG235" s="1096">
        <v>0</v>
      </c>
      <c r="AH235" s="1096">
        <v>0</v>
      </c>
      <c r="AI235" s="1096">
        <v>0</v>
      </c>
      <c r="AJ235" s="1096">
        <v>0</v>
      </c>
      <c r="AK235" s="1096">
        <v>0</v>
      </c>
      <c r="AL235" s="1096">
        <v>0</v>
      </c>
      <c r="AM235" s="1096">
        <v>0</v>
      </c>
      <c r="AN235" s="1096">
        <v>0</v>
      </c>
      <c r="AO235" s="1096">
        <v>0</v>
      </c>
      <c r="AP235" s="1096">
        <v>0</v>
      </c>
      <c r="AQ235" s="1096">
        <v>0</v>
      </c>
      <c r="AR235" s="1096">
        <v>0</v>
      </c>
      <c r="AS235" s="1096">
        <v>0</v>
      </c>
      <c r="AT235" s="1096">
        <v>0</v>
      </c>
      <c r="AU235" s="1096">
        <v>0</v>
      </c>
    </row>
    <row r="236" spans="1:47" s="1077" customFormat="1" x14ac:dyDescent="0.25">
      <c r="A236" s="99">
        <v>586</v>
      </c>
      <c r="B236" s="1088">
        <v>586</v>
      </c>
      <c r="C236" s="1098">
        <v>586</v>
      </c>
      <c r="D236" s="1098" t="s">
        <v>406</v>
      </c>
      <c r="E236" s="1091">
        <v>0</v>
      </c>
      <c r="F236" s="1071">
        <v>0</v>
      </c>
      <c r="G236" s="1071">
        <v>0</v>
      </c>
      <c r="H236" s="1071">
        <v>0</v>
      </c>
      <c r="I236" s="1071">
        <v>0</v>
      </c>
      <c r="J236" s="1072">
        <v>0</v>
      </c>
      <c r="K236" s="1096">
        <v>0</v>
      </c>
      <c r="L236" s="1097">
        <v>0</v>
      </c>
      <c r="M236" s="1097">
        <v>0</v>
      </c>
      <c r="N236" s="1097">
        <v>0</v>
      </c>
      <c r="O236" s="1097">
        <v>0</v>
      </c>
      <c r="P236" s="1097">
        <v>0</v>
      </c>
      <c r="Q236" s="1097">
        <v>0</v>
      </c>
      <c r="R236" s="1097">
        <v>0</v>
      </c>
      <c r="S236" s="1097">
        <v>0</v>
      </c>
      <c r="T236" s="1097">
        <v>0</v>
      </c>
      <c r="U236" s="1097">
        <v>0</v>
      </c>
      <c r="V236" s="1097">
        <v>0</v>
      </c>
      <c r="W236" s="1097">
        <v>0</v>
      </c>
      <c r="X236" s="1097">
        <v>0</v>
      </c>
      <c r="Y236" s="1097">
        <v>0</v>
      </c>
      <c r="Z236" s="1097">
        <v>0</v>
      </c>
      <c r="AA236" s="1096">
        <v>0</v>
      </c>
      <c r="AB236" s="1096">
        <v>0</v>
      </c>
      <c r="AC236" s="1096">
        <v>0</v>
      </c>
      <c r="AD236" s="1096">
        <v>0</v>
      </c>
      <c r="AE236" s="1096">
        <v>0</v>
      </c>
      <c r="AF236" s="1096">
        <v>0</v>
      </c>
      <c r="AG236" s="1096">
        <v>0</v>
      </c>
      <c r="AH236" s="1096">
        <v>0</v>
      </c>
      <c r="AI236" s="1096">
        <v>0</v>
      </c>
      <c r="AJ236" s="1096">
        <v>0</v>
      </c>
      <c r="AK236" s="1096">
        <v>0</v>
      </c>
      <c r="AL236" s="1096">
        <v>0</v>
      </c>
      <c r="AM236" s="1096">
        <v>0</v>
      </c>
      <c r="AN236" s="1096">
        <v>0</v>
      </c>
      <c r="AO236" s="1096">
        <v>0</v>
      </c>
      <c r="AP236" s="1096">
        <v>0</v>
      </c>
      <c r="AQ236" s="1096">
        <v>0</v>
      </c>
      <c r="AR236" s="1096">
        <v>0</v>
      </c>
      <c r="AS236" s="1096">
        <v>0</v>
      </c>
      <c r="AT236" s="1096">
        <v>0</v>
      </c>
      <c r="AU236" s="1096">
        <v>0</v>
      </c>
    </row>
    <row r="237" spans="1:47" s="1077" customFormat="1" x14ac:dyDescent="0.25">
      <c r="A237" s="99">
        <v>587</v>
      </c>
      <c r="B237" s="1099"/>
      <c r="C237" s="1098">
        <v>587</v>
      </c>
      <c r="D237" s="1098" t="s">
        <v>407</v>
      </c>
      <c r="E237" s="1091">
        <v>0</v>
      </c>
      <c r="F237" s="1071">
        <v>0</v>
      </c>
      <c r="G237" s="1071">
        <v>0</v>
      </c>
      <c r="H237" s="1071">
        <v>0</v>
      </c>
      <c r="I237" s="1071">
        <v>0</v>
      </c>
      <c r="J237" s="1072">
        <v>0</v>
      </c>
      <c r="K237" s="1096">
        <v>0</v>
      </c>
      <c r="L237" s="1097">
        <v>0</v>
      </c>
      <c r="M237" s="1097">
        <v>0</v>
      </c>
      <c r="N237" s="1097">
        <v>0</v>
      </c>
      <c r="O237" s="1097">
        <v>0</v>
      </c>
      <c r="P237" s="1097">
        <v>0</v>
      </c>
      <c r="Q237" s="1097">
        <v>0</v>
      </c>
      <c r="R237" s="1097">
        <v>0</v>
      </c>
      <c r="S237" s="1097">
        <v>0</v>
      </c>
      <c r="T237" s="1097">
        <v>0</v>
      </c>
      <c r="U237" s="1097">
        <v>0</v>
      </c>
      <c r="V237" s="1097">
        <v>0</v>
      </c>
      <c r="W237" s="1097">
        <v>0</v>
      </c>
      <c r="X237" s="1097">
        <v>0</v>
      </c>
      <c r="Y237" s="1097">
        <v>0</v>
      </c>
      <c r="Z237" s="1097">
        <v>0</v>
      </c>
      <c r="AA237" s="1096">
        <v>0</v>
      </c>
      <c r="AB237" s="1096">
        <v>0</v>
      </c>
      <c r="AC237" s="1096">
        <v>0</v>
      </c>
      <c r="AD237" s="1096">
        <v>0</v>
      </c>
      <c r="AE237" s="1096">
        <v>0</v>
      </c>
      <c r="AF237" s="1096">
        <v>0</v>
      </c>
      <c r="AG237" s="1096">
        <v>0</v>
      </c>
      <c r="AH237" s="1096">
        <v>0</v>
      </c>
      <c r="AI237" s="1096">
        <v>0</v>
      </c>
      <c r="AJ237" s="1096">
        <v>0</v>
      </c>
      <c r="AK237" s="1096">
        <v>0</v>
      </c>
      <c r="AL237" s="1096">
        <v>0</v>
      </c>
      <c r="AM237" s="1096">
        <v>0</v>
      </c>
      <c r="AN237" s="1096">
        <v>0</v>
      </c>
      <c r="AO237" s="1096">
        <v>0</v>
      </c>
      <c r="AP237" s="1096">
        <v>0</v>
      </c>
      <c r="AQ237" s="1096">
        <v>0</v>
      </c>
      <c r="AR237" s="1096">
        <v>0</v>
      </c>
      <c r="AS237" s="1096">
        <v>0</v>
      </c>
      <c r="AT237" s="1096">
        <v>0</v>
      </c>
      <c r="AU237" s="1096">
        <v>0</v>
      </c>
    </row>
    <row r="238" spans="1:47" s="1077" customFormat="1" x14ac:dyDescent="0.25">
      <c r="A238" s="99">
        <v>588</v>
      </c>
      <c r="B238" s="1099"/>
      <c r="C238" s="1098">
        <v>588</v>
      </c>
      <c r="D238" s="1098" t="s">
        <v>408</v>
      </c>
      <c r="E238" s="1091">
        <v>0</v>
      </c>
      <c r="F238" s="1071">
        <v>0</v>
      </c>
      <c r="G238" s="1071">
        <v>0</v>
      </c>
      <c r="H238" s="1071">
        <v>0</v>
      </c>
      <c r="I238" s="1071">
        <v>0</v>
      </c>
      <c r="J238" s="1072">
        <v>0</v>
      </c>
      <c r="K238" s="1096">
        <v>0</v>
      </c>
      <c r="L238" s="1097">
        <v>0</v>
      </c>
      <c r="M238" s="1097">
        <v>0</v>
      </c>
      <c r="N238" s="1097">
        <v>0</v>
      </c>
      <c r="O238" s="1097">
        <v>0</v>
      </c>
      <c r="P238" s="1097">
        <v>0</v>
      </c>
      <c r="Q238" s="1097">
        <v>0</v>
      </c>
      <c r="R238" s="1097">
        <v>0</v>
      </c>
      <c r="S238" s="1097">
        <v>0</v>
      </c>
      <c r="T238" s="1097">
        <v>0</v>
      </c>
      <c r="U238" s="1097">
        <v>0</v>
      </c>
      <c r="V238" s="1097">
        <v>0</v>
      </c>
      <c r="W238" s="1097">
        <v>0</v>
      </c>
      <c r="X238" s="1097">
        <v>0</v>
      </c>
      <c r="Y238" s="1097">
        <v>0</v>
      </c>
      <c r="Z238" s="1097">
        <v>0</v>
      </c>
      <c r="AA238" s="1096">
        <v>0</v>
      </c>
      <c r="AB238" s="1096">
        <v>0</v>
      </c>
      <c r="AC238" s="1096">
        <v>0</v>
      </c>
      <c r="AD238" s="1096">
        <v>0</v>
      </c>
      <c r="AE238" s="1096">
        <v>0</v>
      </c>
      <c r="AF238" s="1096">
        <v>0</v>
      </c>
      <c r="AG238" s="1096">
        <v>0</v>
      </c>
      <c r="AH238" s="1096">
        <v>0</v>
      </c>
      <c r="AI238" s="1096">
        <v>0</v>
      </c>
      <c r="AJ238" s="1096">
        <v>0</v>
      </c>
      <c r="AK238" s="1096">
        <v>0</v>
      </c>
      <c r="AL238" s="1096">
        <v>0</v>
      </c>
      <c r="AM238" s="1096">
        <v>0</v>
      </c>
      <c r="AN238" s="1096">
        <v>0</v>
      </c>
      <c r="AO238" s="1096">
        <v>0</v>
      </c>
      <c r="AP238" s="1096">
        <v>0</v>
      </c>
      <c r="AQ238" s="1096">
        <v>0</v>
      </c>
      <c r="AR238" s="1096">
        <v>0</v>
      </c>
      <c r="AS238" s="1096">
        <v>0</v>
      </c>
      <c r="AT238" s="1096">
        <v>0</v>
      </c>
      <c r="AU238" s="1096">
        <v>0</v>
      </c>
    </row>
    <row r="239" spans="1:47" s="1077" customFormat="1" x14ac:dyDescent="0.25">
      <c r="A239" s="99">
        <v>589</v>
      </c>
      <c r="B239" s="1099"/>
      <c r="C239" s="99">
        <v>589</v>
      </c>
      <c r="D239" s="99" t="s">
        <v>409</v>
      </c>
      <c r="E239" s="1091"/>
      <c r="F239" s="1071"/>
      <c r="G239" s="1071"/>
      <c r="H239" s="1071"/>
      <c r="I239" s="1071"/>
      <c r="J239" s="1072"/>
      <c r="K239" s="1096"/>
      <c r="L239" s="1097"/>
      <c r="M239" s="1097"/>
      <c r="N239" s="1097"/>
      <c r="O239" s="1097"/>
      <c r="P239" s="1097"/>
      <c r="Q239" s="1097"/>
      <c r="R239" s="1097"/>
      <c r="S239" s="1097"/>
      <c r="T239" s="1097"/>
      <c r="U239" s="1097"/>
      <c r="V239" s="1097"/>
      <c r="W239" s="1097"/>
      <c r="X239" s="1097"/>
      <c r="Y239" s="1097"/>
      <c r="Z239" s="1097"/>
      <c r="AA239" s="1096"/>
      <c r="AB239" s="1096"/>
      <c r="AC239" s="1096"/>
      <c r="AD239" s="1096"/>
      <c r="AE239" s="1096"/>
      <c r="AF239" s="1096"/>
      <c r="AG239" s="1096"/>
      <c r="AH239" s="1096"/>
      <c r="AI239" s="1096"/>
      <c r="AJ239" s="1096"/>
      <c r="AK239" s="1096"/>
      <c r="AL239" s="1096"/>
      <c r="AM239" s="1096"/>
      <c r="AN239" s="1096"/>
      <c r="AO239" s="1096"/>
      <c r="AP239" s="1096"/>
      <c r="AQ239" s="1096"/>
      <c r="AR239" s="1096"/>
      <c r="AS239" s="1096"/>
      <c r="AT239" s="1096"/>
      <c r="AU239" s="1096"/>
    </row>
    <row r="240" spans="1:47" s="1077" customFormat="1" x14ac:dyDescent="0.25">
      <c r="A240" s="99">
        <v>590</v>
      </c>
      <c r="B240" s="1099"/>
      <c r="C240" s="99">
        <v>590</v>
      </c>
      <c r="D240" s="99" t="s">
        <v>410</v>
      </c>
      <c r="E240" s="1091"/>
      <c r="F240" s="1071"/>
      <c r="G240" s="1071"/>
      <c r="H240" s="1071"/>
      <c r="I240" s="1071"/>
      <c r="J240" s="1072"/>
      <c r="K240" s="1096"/>
      <c r="L240" s="1097"/>
      <c r="M240" s="1097"/>
      <c r="N240" s="1097"/>
      <c r="O240" s="1097"/>
      <c r="P240" s="1097"/>
      <c r="Q240" s="1097"/>
      <c r="R240" s="1097"/>
      <c r="S240" s="1097"/>
      <c r="T240" s="1097"/>
      <c r="U240" s="1097"/>
      <c r="V240" s="1097"/>
      <c r="W240" s="1097"/>
      <c r="X240" s="1097"/>
      <c r="Y240" s="1097"/>
      <c r="Z240" s="1097"/>
      <c r="AA240" s="1096"/>
      <c r="AB240" s="1096"/>
      <c r="AC240" s="1096"/>
      <c r="AD240" s="1096"/>
      <c r="AE240" s="1096"/>
      <c r="AF240" s="1096"/>
      <c r="AG240" s="1096"/>
      <c r="AH240" s="1096"/>
      <c r="AI240" s="1096"/>
      <c r="AJ240" s="1096"/>
      <c r="AK240" s="1096"/>
      <c r="AL240" s="1096"/>
      <c r="AM240" s="1096"/>
      <c r="AN240" s="1096"/>
      <c r="AO240" s="1096"/>
      <c r="AP240" s="1096"/>
      <c r="AQ240" s="1096"/>
      <c r="AR240" s="1096"/>
      <c r="AS240" s="1096"/>
      <c r="AT240" s="1096"/>
      <c r="AU240" s="1096"/>
    </row>
    <row r="241" spans="1:47" s="1077" customFormat="1" x14ac:dyDescent="0.25">
      <c r="A241" s="99">
        <v>992</v>
      </c>
      <c r="B241" s="1099"/>
      <c r="C241" s="99">
        <v>992</v>
      </c>
      <c r="D241" s="99"/>
      <c r="E241" s="1091"/>
      <c r="F241" s="1071"/>
      <c r="G241" s="1071"/>
      <c r="H241" s="1071"/>
      <c r="I241" s="1071"/>
      <c r="J241" s="1072"/>
      <c r="K241" s="1096"/>
      <c r="L241" s="1097"/>
      <c r="M241" s="1097"/>
      <c r="N241" s="1097"/>
      <c r="O241" s="1097"/>
      <c r="P241" s="1097"/>
      <c r="Q241" s="1097"/>
      <c r="R241" s="1097"/>
      <c r="S241" s="1097"/>
      <c r="T241" s="1097"/>
      <c r="U241" s="1097"/>
      <c r="V241" s="1097"/>
      <c r="W241" s="1097"/>
      <c r="X241" s="1097"/>
      <c r="Y241" s="1097"/>
      <c r="Z241" s="1097"/>
      <c r="AA241" s="1096"/>
      <c r="AB241" s="1096"/>
      <c r="AC241" s="1096"/>
      <c r="AD241" s="1096"/>
      <c r="AE241" s="1096"/>
      <c r="AF241" s="1096"/>
      <c r="AG241" s="1096"/>
      <c r="AH241" s="1096"/>
      <c r="AI241" s="1096"/>
      <c r="AJ241" s="1096"/>
      <c r="AK241" s="1096"/>
      <c r="AL241" s="1096"/>
      <c r="AM241" s="1096"/>
      <c r="AN241" s="1096"/>
      <c r="AO241" s="1096"/>
      <c r="AP241" s="1096"/>
      <c r="AQ241" s="1096"/>
      <c r="AR241" s="1096"/>
      <c r="AS241" s="1096"/>
      <c r="AT241" s="1096"/>
      <c r="AU241" s="1096"/>
    </row>
    <row r="242" spans="1:47" s="411" customFormat="1" x14ac:dyDescent="0.25">
      <c r="A242" s="99">
        <v>993</v>
      </c>
      <c r="B242" s="1099"/>
      <c r="C242" s="1084">
        <v>993</v>
      </c>
      <c r="D242" s="1085" t="s">
        <v>1523</v>
      </c>
      <c r="E242" s="1091">
        <v>0</v>
      </c>
      <c r="F242" s="1069" t="s">
        <v>1560</v>
      </c>
      <c r="G242" s="1069" t="s">
        <v>1560</v>
      </c>
      <c r="H242" s="1069" t="s">
        <v>1560</v>
      </c>
      <c r="I242" s="1069" t="s">
        <v>1560</v>
      </c>
      <c r="J242" s="1070" t="s">
        <v>1560</v>
      </c>
      <c r="K242" s="1092">
        <v>0</v>
      </c>
      <c r="L242" s="1093">
        <v>0</v>
      </c>
      <c r="M242" s="1093">
        <v>0</v>
      </c>
      <c r="N242" s="1093">
        <v>0</v>
      </c>
      <c r="O242" s="1093">
        <v>0</v>
      </c>
      <c r="P242" s="1093">
        <v>0</v>
      </c>
      <c r="Q242" s="1093">
        <v>0</v>
      </c>
      <c r="R242" s="1093">
        <v>0</v>
      </c>
      <c r="S242" s="1093">
        <v>0</v>
      </c>
      <c r="T242" s="1093">
        <v>0</v>
      </c>
      <c r="U242" s="1093">
        <v>0</v>
      </c>
      <c r="V242" s="1093">
        <v>0</v>
      </c>
      <c r="W242" s="1093">
        <v>0</v>
      </c>
      <c r="X242" s="1093">
        <v>0</v>
      </c>
      <c r="Y242" s="1093">
        <v>0</v>
      </c>
      <c r="Z242" s="1093">
        <v>0</v>
      </c>
      <c r="AA242" s="1092">
        <v>0</v>
      </c>
      <c r="AB242" s="1092">
        <v>0</v>
      </c>
      <c r="AC242" s="1092">
        <v>0</v>
      </c>
      <c r="AD242" s="1092">
        <v>0</v>
      </c>
      <c r="AE242" s="1092">
        <v>0</v>
      </c>
      <c r="AF242" s="1092">
        <v>0</v>
      </c>
      <c r="AG242" s="1092">
        <v>0</v>
      </c>
      <c r="AH242" s="1092">
        <v>0</v>
      </c>
      <c r="AI242" s="1092">
        <v>0</v>
      </c>
      <c r="AJ242" s="1092">
        <v>0</v>
      </c>
      <c r="AK242" s="1092">
        <v>0</v>
      </c>
      <c r="AL242" s="1092">
        <v>0</v>
      </c>
      <c r="AM242" s="1092">
        <v>0</v>
      </c>
      <c r="AN242" s="1092">
        <v>0</v>
      </c>
      <c r="AO242" s="1092">
        <v>0</v>
      </c>
      <c r="AP242" s="1092">
        <v>0</v>
      </c>
      <c r="AQ242" s="1092">
        <v>0</v>
      </c>
      <c r="AR242" s="1092">
        <v>0</v>
      </c>
      <c r="AS242" s="1092">
        <v>0</v>
      </c>
      <c r="AT242" s="1092">
        <v>0</v>
      </c>
      <c r="AU242" s="1092">
        <v>0</v>
      </c>
    </row>
    <row r="243" spans="1:47" s="411" customFormat="1" x14ac:dyDescent="0.25">
      <c r="A243" s="99">
        <v>994</v>
      </c>
      <c r="B243" s="1099"/>
      <c r="C243" s="1084">
        <v>994</v>
      </c>
      <c r="D243" s="1085" t="s">
        <v>1524</v>
      </c>
      <c r="E243" s="1091">
        <v>0</v>
      </c>
      <c r="F243" s="1069" t="s">
        <v>1560</v>
      </c>
      <c r="G243" s="1069" t="s">
        <v>1560</v>
      </c>
      <c r="H243" s="1069" t="s">
        <v>1560</v>
      </c>
      <c r="I243" s="1069" t="s">
        <v>1560</v>
      </c>
      <c r="J243" s="1070" t="s">
        <v>1560</v>
      </c>
      <c r="K243" s="1092">
        <v>0</v>
      </c>
      <c r="L243" s="1093">
        <v>0</v>
      </c>
      <c r="M243" s="1093">
        <v>0</v>
      </c>
      <c r="N243" s="1093">
        <v>0</v>
      </c>
      <c r="O243" s="1093">
        <v>0</v>
      </c>
      <c r="P243" s="1093">
        <v>0</v>
      </c>
      <c r="Q243" s="1093">
        <v>0</v>
      </c>
      <c r="R243" s="1093">
        <v>0</v>
      </c>
      <c r="S243" s="1093">
        <v>0</v>
      </c>
      <c r="T243" s="1093">
        <v>0</v>
      </c>
      <c r="U243" s="1093">
        <v>0</v>
      </c>
      <c r="V243" s="1093">
        <v>0</v>
      </c>
      <c r="W243" s="1093">
        <v>0</v>
      </c>
      <c r="X243" s="1093">
        <v>0</v>
      </c>
      <c r="Y243" s="1093">
        <v>0</v>
      </c>
      <c r="Z243" s="1093">
        <v>0</v>
      </c>
      <c r="AA243" s="1092">
        <v>0</v>
      </c>
      <c r="AB243" s="1092">
        <v>0</v>
      </c>
      <c r="AC243" s="1092">
        <v>0</v>
      </c>
      <c r="AD243" s="1092">
        <v>0</v>
      </c>
      <c r="AE243" s="1092">
        <v>0</v>
      </c>
      <c r="AF243" s="1092">
        <v>0</v>
      </c>
      <c r="AG243" s="1092">
        <v>0</v>
      </c>
      <c r="AH243" s="1092">
        <v>0</v>
      </c>
      <c r="AI243" s="1092">
        <v>0</v>
      </c>
      <c r="AJ243" s="1092">
        <v>0</v>
      </c>
      <c r="AK243" s="1092">
        <v>0</v>
      </c>
      <c r="AL243" s="1092">
        <v>0</v>
      </c>
      <c r="AM243" s="1092">
        <v>0</v>
      </c>
      <c r="AN243" s="1092">
        <v>0</v>
      </c>
      <c r="AO243" s="1092">
        <v>0</v>
      </c>
      <c r="AP243" s="1092">
        <v>0</v>
      </c>
      <c r="AQ243" s="1092">
        <v>0</v>
      </c>
      <c r="AR243" s="1092">
        <v>0</v>
      </c>
      <c r="AS243" s="1092">
        <v>0</v>
      </c>
      <c r="AT243" s="1092">
        <v>0</v>
      </c>
      <c r="AU243" s="1092">
        <v>0</v>
      </c>
    </row>
    <row r="244" spans="1:47" s="411" customFormat="1" ht="30" x14ac:dyDescent="0.25">
      <c r="A244" s="99">
        <v>995</v>
      </c>
      <c r="B244" s="1099"/>
      <c r="C244" s="1084">
        <v>995</v>
      </c>
      <c r="D244" s="1085" t="s">
        <v>290</v>
      </c>
      <c r="E244" s="1091">
        <v>0</v>
      </c>
      <c r="F244" s="1069" t="s">
        <v>1560</v>
      </c>
      <c r="G244" s="1069" t="s">
        <v>1560</v>
      </c>
      <c r="H244" s="1069" t="s">
        <v>1560</v>
      </c>
      <c r="I244" s="1069" t="s">
        <v>1560</v>
      </c>
      <c r="J244" s="1070" t="s">
        <v>1560</v>
      </c>
      <c r="K244" s="1092">
        <v>0</v>
      </c>
      <c r="L244" s="1093">
        <v>0</v>
      </c>
      <c r="M244" s="1093">
        <v>0</v>
      </c>
      <c r="N244" s="1093">
        <v>0</v>
      </c>
      <c r="O244" s="1093">
        <v>0</v>
      </c>
      <c r="P244" s="1093">
        <v>0</v>
      </c>
      <c r="Q244" s="1093">
        <v>0</v>
      </c>
      <c r="R244" s="1093">
        <v>0</v>
      </c>
      <c r="S244" s="1093">
        <v>0</v>
      </c>
      <c r="T244" s="1093">
        <v>0</v>
      </c>
      <c r="U244" s="1093">
        <v>0</v>
      </c>
      <c r="V244" s="1093">
        <v>0</v>
      </c>
      <c r="W244" s="1093">
        <v>0</v>
      </c>
      <c r="X244" s="1093">
        <v>0</v>
      </c>
      <c r="Y244" s="1093">
        <v>0</v>
      </c>
      <c r="Z244" s="1093">
        <v>0</v>
      </c>
      <c r="AA244" s="1092">
        <v>0</v>
      </c>
      <c r="AB244" s="1092">
        <v>0</v>
      </c>
      <c r="AC244" s="1092">
        <v>0</v>
      </c>
      <c r="AD244" s="1092">
        <v>0</v>
      </c>
      <c r="AE244" s="1092">
        <v>0</v>
      </c>
      <c r="AF244" s="1092">
        <v>0</v>
      </c>
      <c r="AG244" s="1092">
        <v>0</v>
      </c>
      <c r="AH244" s="1092">
        <v>0</v>
      </c>
      <c r="AI244" s="1092">
        <v>0</v>
      </c>
      <c r="AJ244" s="1092">
        <v>0</v>
      </c>
      <c r="AK244" s="1092">
        <v>0</v>
      </c>
      <c r="AL244" s="1092">
        <v>0</v>
      </c>
      <c r="AM244" s="1092">
        <v>0</v>
      </c>
      <c r="AN244" s="1092">
        <v>0</v>
      </c>
      <c r="AO244" s="1092">
        <v>0</v>
      </c>
      <c r="AP244" s="1092">
        <v>0</v>
      </c>
      <c r="AQ244" s="1092">
        <v>0</v>
      </c>
      <c r="AR244" s="1092">
        <v>0</v>
      </c>
      <c r="AS244" s="1092">
        <v>0</v>
      </c>
      <c r="AT244" s="1092">
        <v>0</v>
      </c>
      <c r="AU244" s="1092">
        <v>0</v>
      </c>
    </row>
    <row r="245" spans="1:47" s="411" customFormat="1" ht="30" x14ac:dyDescent="0.25">
      <c r="A245" s="99">
        <v>996</v>
      </c>
      <c r="B245" s="1099"/>
      <c r="C245" s="1084">
        <v>996</v>
      </c>
      <c r="D245" s="1100" t="s">
        <v>291</v>
      </c>
      <c r="E245" s="1101">
        <v>0</v>
      </c>
      <c r="F245" s="1102">
        <v>0</v>
      </c>
      <c r="G245" s="1102">
        <v>0</v>
      </c>
      <c r="H245" s="1102">
        <v>0</v>
      </c>
      <c r="I245" s="1102">
        <v>0</v>
      </c>
      <c r="J245" s="1103">
        <v>0</v>
      </c>
      <c r="K245" s="1092">
        <v>0</v>
      </c>
      <c r="L245" s="1093">
        <v>0</v>
      </c>
      <c r="M245" s="1093">
        <v>0</v>
      </c>
      <c r="N245" s="1093">
        <v>0</v>
      </c>
      <c r="O245" s="1093">
        <v>0</v>
      </c>
      <c r="P245" s="1093">
        <v>0</v>
      </c>
      <c r="Q245" s="1093">
        <v>0</v>
      </c>
      <c r="R245" s="1093">
        <v>0</v>
      </c>
      <c r="S245" s="1093">
        <v>0</v>
      </c>
      <c r="T245" s="1093">
        <v>0</v>
      </c>
      <c r="U245" s="1093">
        <v>0</v>
      </c>
      <c r="V245" s="1093">
        <v>0</v>
      </c>
      <c r="W245" s="1093">
        <v>0</v>
      </c>
      <c r="X245" s="1093">
        <v>0</v>
      </c>
      <c r="Y245" s="1093">
        <v>0</v>
      </c>
      <c r="Z245" s="1093">
        <v>0</v>
      </c>
      <c r="AA245" s="1092">
        <v>0</v>
      </c>
      <c r="AB245" s="1092">
        <v>0</v>
      </c>
      <c r="AC245" s="1092">
        <v>0</v>
      </c>
      <c r="AD245" s="1092">
        <v>0</v>
      </c>
      <c r="AE245" s="1092">
        <v>0</v>
      </c>
      <c r="AF245" s="1092">
        <v>0</v>
      </c>
      <c r="AG245" s="1092">
        <v>0</v>
      </c>
      <c r="AH245" s="1092">
        <v>0</v>
      </c>
      <c r="AI245" s="1092">
        <v>0</v>
      </c>
      <c r="AJ245" s="1092">
        <v>0</v>
      </c>
      <c r="AK245" s="1092">
        <v>0</v>
      </c>
      <c r="AL245" s="1092">
        <v>0</v>
      </c>
      <c r="AM245" s="1092">
        <v>0</v>
      </c>
      <c r="AN245" s="1092">
        <v>0</v>
      </c>
      <c r="AO245" s="1092">
        <v>0</v>
      </c>
      <c r="AP245" s="1092">
        <v>0</v>
      </c>
      <c r="AQ245" s="1092">
        <v>0</v>
      </c>
      <c r="AR245" s="1092">
        <v>0</v>
      </c>
      <c r="AS245" s="1092">
        <v>0</v>
      </c>
      <c r="AT245" s="1092">
        <v>0</v>
      </c>
      <c r="AU245" s="1092">
        <v>0</v>
      </c>
    </row>
    <row r="246" spans="1:47" s="1077" customFormat="1" x14ac:dyDescent="0.25">
      <c r="A246" s="99">
        <v>997</v>
      </c>
      <c r="B246" s="1099"/>
      <c r="C246" s="99">
        <v>997</v>
      </c>
      <c r="D246" s="99"/>
      <c r="E246" s="1101"/>
      <c r="F246" s="1102"/>
      <c r="G246" s="1102"/>
      <c r="H246" s="1102"/>
      <c r="I246" s="1102"/>
      <c r="J246" s="1103"/>
      <c r="K246" s="1092"/>
      <c r="L246" s="1093"/>
      <c r="M246" s="1093"/>
      <c r="N246" s="1093"/>
      <c r="O246" s="1093"/>
      <c r="P246" s="1093"/>
      <c r="Q246" s="1093"/>
      <c r="R246" s="1093"/>
      <c r="S246" s="1093"/>
      <c r="T246" s="1093"/>
      <c r="U246" s="1093"/>
      <c r="V246" s="1093"/>
      <c r="W246" s="1093"/>
      <c r="X246" s="1093"/>
      <c r="Y246" s="1093"/>
      <c r="Z246" s="1093"/>
      <c r="AA246" s="1092"/>
      <c r="AB246" s="1092"/>
      <c r="AC246" s="1092"/>
      <c r="AD246" s="1092"/>
      <c r="AE246" s="1092"/>
      <c r="AF246" s="1092"/>
      <c r="AG246" s="1092"/>
      <c r="AH246" s="1092"/>
      <c r="AI246" s="1092"/>
      <c r="AJ246" s="1092"/>
      <c r="AK246" s="1092"/>
      <c r="AL246" s="1092"/>
      <c r="AM246" s="1092"/>
      <c r="AN246" s="1092"/>
      <c r="AO246" s="1092"/>
      <c r="AP246" s="1092"/>
      <c r="AQ246" s="1092"/>
      <c r="AR246" s="1092"/>
      <c r="AS246" s="1092"/>
      <c r="AT246" s="1092"/>
      <c r="AU246" s="1092"/>
    </row>
    <row r="247" spans="1:47" s="1077" customFormat="1" x14ac:dyDescent="0.25">
      <c r="A247" s="99">
        <v>998</v>
      </c>
      <c r="B247" s="1088">
        <v>998</v>
      </c>
      <c r="C247" s="1084">
        <v>998</v>
      </c>
      <c r="D247" s="1085" t="s">
        <v>292</v>
      </c>
      <c r="E247" s="1091">
        <v>60</v>
      </c>
      <c r="F247" s="1069">
        <v>60</v>
      </c>
      <c r="G247" s="1069">
        <v>60</v>
      </c>
      <c r="H247" s="1069">
        <v>60</v>
      </c>
      <c r="I247" s="1069">
        <v>60</v>
      </c>
      <c r="J247" s="1070">
        <v>60</v>
      </c>
      <c r="K247" s="1082">
        <v>60</v>
      </c>
      <c r="L247" s="1079">
        <v>60</v>
      </c>
      <c r="M247" s="1094">
        <v>60</v>
      </c>
      <c r="N247" s="1094">
        <v>60</v>
      </c>
      <c r="O247" s="1094">
        <v>60</v>
      </c>
      <c r="P247" s="1094">
        <v>60</v>
      </c>
      <c r="Q247" s="1094">
        <v>60</v>
      </c>
      <c r="R247" s="1094">
        <v>60</v>
      </c>
      <c r="S247" s="1094">
        <v>60</v>
      </c>
      <c r="T247" s="1094">
        <v>60</v>
      </c>
      <c r="U247" s="1094">
        <v>60</v>
      </c>
      <c r="V247" s="1094">
        <v>60</v>
      </c>
      <c r="W247" s="1094">
        <v>60</v>
      </c>
      <c r="X247" s="1094">
        <v>60</v>
      </c>
      <c r="Y247" s="1094">
        <v>60</v>
      </c>
      <c r="Z247" s="1094">
        <v>60</v>
      </c>
      <c r="AA247" s="1095">
        <v>60</v>
      </c>
      <c r="AB247" s="1095">
        <v>60</v>
      </c>
      <c r="AC247" s="1095">
        <v>60</v>
      </c>
      <c r="AD247" s="1095">
        <v>60</v>
      </c>
      <c r="AE247" s="1095">
        <v>60</v>
      </c>
      <c r="AF247" s="1095">
        <v>60</v>
      </c>
      <c r="AG247" s="1095">
        <v>60</v>
      </c>
      <c r="AH247" s="1095">
        <v>60</v>
      </c>
      <c r="AI247" s="1095">
        <v>60</v>
      </c>
      <c r="AJ247" s="1095">
        <v>60</v>
      </c>
      <c r="AK247" s="1095">
        <v>60</v>
      </c>
      <c r="AL247" s="1095">
        <v>60</v>
      </c>
      <c r="AM247" s="1095">
        <v>60</v>
      </c>
      <c r="AN247" s="1095">
        <v>60</v>
      </c>
      <c r="AO247" s="1095">
        <v>60</v>
      </c>
      <c r="AP247" s="1095">
        <v>60</v>
      </c>
      <c r="AQ247" s="1095">
        <v>60</v>
      </c>
      <c r="AR247" s="1095">
        <v>60</v>
      </c>
      <c r="AS247" s="1095">
        <v>60</v>
      </c>
      <c r="AT247" s="1095">
        <v>60</v>
      </c>
      <c r="AU247" s="1095">
        <v>60</v>
      </c>
    </row>
    <row r="248" spans="1:47" s="1077" customFormat="1" x14ac:dyDescent="0.25">
      <c r="A248" s="99">
        <v>999</v>
      </c>
      <c r="B248" s="1088">
        <v>999</v>
      </c>
      <c r="C248" s="1084">
        <v>999</v>
      </c>
      <c r="D248" s="1085" t="s">
        <v>293</v>
      </c>
      <c r="E248" s="1086">
        <v>602182</v>
      </c>
      <c r="F248" s="1069">
        <v>601701</v>
      </c>
      <c r="G248" s="1069">
        <v>601702</v>
      </c>
      <c r="H248" s="1069">
        <v>601703</v>
      </c>
      <c r="I248" s="1069">
        <v>604187</v>
      </c>
      <c r="J248" s="1070">
        <v>601707</v>
      </c>
      <c r="K248" s="1082">
        <v>601708</v>
      </c>
      <c r="L248" s="1079">
        <v>601795</v>
      </c>
      <c r="M248" s="1094">
        <v>602352</v>
      </c>
      <c r="N248" s="1094">
        <v>60952</v>
      </c>
      <c r="O248" s="1094">
        <v>601717</v>
      </c>
      <c r="P248" s="1094">
        <v>601719</v>
      </c>
      <c r="Q248" s="1094">
        <v>601720</v>
      </c>
      <c r="R248" s="1094">
        <v>601504</v>
      </c>
      <c r="S248" s="1094">
        <v>601723</v>
      </c>
      <c r="T248" s="1094">
        <v>601781</v>
      </c>
      <c r="U248" s="1094">
        <v>601782</v>
      </c>
      <c r="V248" s="1094">
        <v>601724</v>
      </c>
      <c r="W248" s="1094">
        <v>601725</v>
      </c>
      <c r="X248" s="1094">
        <v>601726</v>
      </c>
      <c r="Y248" s="1094">
        <v>602154</v>
      </c>
      <c r="Z248" s="1094">
        <v>604030</v>
      </c>
      <c r="AA248" s="1095">
        <v>601738</v>
      </c>
      <c r="AB248" s="1095">
        <v>601744</v>
      </c>
      <c r="AC248" s="1095">
        <v>601745</v>
      </c>
      <c r="AD248" s="1095">
        <v>601746</v>
      </c>
      <c r="AE248" s="1095">
        <v>601748</v>
      </c>
      <c r="AF248" s="1095">
        <v>601790</v>
      </c>
      <c r="AG248" s="1095">
        <v>602369</v>
      </c>
      <c r="AH248" s="1095">
        <v>601760</v>
      </c>
      <c r="AI248" s="1095">
        <v>601761</v>
      </c>
      <c r="AJ248" s="1095">
        <v>601797</v>
      </c>
      <c r="AK248" s="1095">
        <v>602153</v>
      </c>
      <c r="AL248" s="1095">
        <v>601764</v>
      </c>
      <c r="AM248" s="1095">
        <v>602389</v>
      </c>
      <c r="AN248" s="1095">
        <v>601765</v>
      </c>
      <c r="AO248" s="1095">
        <v>602178</v>
      </c>
      <c r="AP248" s="1095">
        <v>602390</v>
      </c>
      <c r="AQ248" s="1095">
        <v>602391</v>
      </c>
      <c r="AR248" s="1095">
        <v>602414</v>
      </c>
      <c r="AS248" s="1095">
        <v>602395</v>
      </c>
      <c r="AT248" s="1095">
        <v>602333</v>
      </c>
      <c r="AU248" s="1095">
        <v>601774</v>
      </c>
    </row>
    <row r="249" spans="1:47" x14ac:dyDescent="0.25">
      <c r="A249" s="99">
        <v>1000</v>
      </c>
      <c r="B249" s="1088"/>
      <c r="C249" s="99">
        <v>1000</v>
      </c>
      <c r="E249" s="1086"/>
      <c r="F249" s="1069"/>
      <c r="G249" s="1069"/>
      <c r="H249" s="1069"/>
      <c r="I249" s="1069"/>
      <c r="J249" s="1070"/>
      <c r="K249" s="1082"/>
      <c r="L249" s="1079"/>
      <c r="M249" s="1094"/>
      <c r="N249" s="1094"/>
      <c r="O249" s="1094"/>
      <c r="P249" s="1094"/>
      <c r="Q249" s="1094"/>
      <c r="R249" s="1094"/>
      <c r="S249" s="1094"/>
      <c r="T249" s="1094"/>
      <c r="U249" s="1094"/>
      <c r="V249" s="1094"/>
      <c r="W249" s="1094"/>
      <c r="X249" s="1094"/>
      <c r="Y249" s="1094"/>
      <c r="Z249" s="1094"/>
      <c r="AA249" s="1095"/>
      <c r="AB249" s="1095"/>
      <c r="AC249" s="1095"/>
      <c r="AD249" s="1095"/>
      <c r="AE249" s="1095"/>
      <c r="AF249" s="1095"/>
      <c r="AG249" s="1095"/>
      <c r="AH249" s="1095"/>
      <c r="AI249" s="1095"/>
      <c r="AJ249" s="1095"/>
      <c r="AK249" s="1095"/>
      <c r="AL249" s="1095"/>
      <c r="AM249" s="1095"/>
      <c r="AN249" s="1095"/>
      <c r="AO249" s="1095"/>
      <c r="AP249" s="1095"/>
      <c r="AQ249" s="1095"/>
      <c r="AR249" s="1095"/>
      <c r="AS249" s="1095"/>
      <c r="AT249" s="1095"/>
      <c r="AU249" s="1095"/>
    </row>
    <row r="250" spans="1:47" x14ac:dyDescent="0.25">
      <c r="A250" s="99">
        <v>537</v>
      </c>
      <c r="B250" s="1088"/>
      <c r="C250" s="99">
        <v>537</v>
      </c>
      <c r="E250" s="1086"/>
      <c r="F250" s="1069"/>
      <c r="G250" s="1069"/>
      <c r="H250" s="1069"/>
      <c r="I250" s="1069"/>
      <c r="J250" s="1070"/>
      <c r="K250" s="1082"/>
      <c r="L250" s="1079"/>
      <c r="M250" s="1094"/>
      <c r="N250" s="1094"/>
      <c r="O250" s="1094"/>
      <c r="P250" s="1094"/>
      <c r="Q250" s="1094"/>
      <c r="R250" s="1094"/>
      <c r="S250" s="1094"/>
      <c r="T250" s="1094"/>
      <c r="U250" s="1094"/>
      <c r="V250" s="1094"/>
      <c r="W250" s="1094"/>
      <c r="X250" s="1094"/>
      <c r="Y250" s="1094"/>
      <c r="Z250" s="1094"/>
      <c r="AA250" s="1095"/>
      <c r="AB250" s="1095"/>
      <c r="AC250" s="1095"/>
      <c r="AD250" s="1095"/>
      <c r="AE250" s="1095"/>
      <c r="AF250" s="1095"/>
      <c r="AG250" s="1095"/>
      <c r="AH250" s="1095"/>
      <c r="AI250" s="1095"/>
      <c r="AJ250" s="1095"/>
      <c r="AK250" s="1095"/>
      <c r="AL250" s="1095"/>
      <c r="AM250" s="1095"/>
      <c r="AN250" s="1095"/>
      <c r="AO250" s="1095"/>
      <c r="AP250" s="1095"/>
      <c r="AQ250" s="1095"/>
      <c r="AR250" s="1095"/>
      <c r="AS250" s="1095"/>
      <c r="AT250" s="1095"/>
      <c r="AU250" s="1095"/>
    </row>
    <row r="251" spans="1:47" x14ac:dyDescent="0.25">
      <c r="A251" s="99">
        <v>538</v>
      </c>
      <c r="B251" s="1088"/>
      <c r="C251" s="99">
        <v>538</v>
      </c>
      <c r="E251" s="1086"/>
      <c r="F251" s="1069"/>
      <c r="G251" s="1069"/>
      <c r="H251" s="1069"/>
      <c r="I251" s="1069"/>
      <c r="J251" s="1070"/>
      <c r="K251" s="1082"/>
      <c r="L251" s="1079"/>
      <c r="M251" s="1094"/>
      <c r="N251" s="1094"/>
      <c r="O251" s="1094"/>
      <c r="P251" s="1094"/>
      <c r="Q251" s="1094"/>
      <c r="R251" s="1094"/>
      <c r="S251" s="1094"/>
      <c r="T251" s="1094"/>
      <c r="U251" s="1094"/>
      <c r="V251" s="1094"/>
      <c r="W251" s="1094"/>
      <c r="X251" s="1094"/>
      <c r="Y251" s="1094"/>
      <c r="Z251" s="1094"/>
      <c r="AA251" s="1095"/>
      <c r="AB251" s="1095"/>
      <c r="AC251" s="1095"/>
      <c r="AD251" s="1095"/>
      <c r="AE251" s="1095"/>
      <c r="AF251" s="1095"/>
      <c r="AG251" s="1095"/>
      <c r="AH251" s="1095"/>
      <c r="AI251" s="1095"/>
      <c r="AJ251" s="1095"/>
      <c r="AK251" s="1095"/>
      <c r="AL251" s="1095"/>
      <c r="AM251" s="1095"/>
      <c r="AN251" s="1095"/>
      <c r="AO251" s="1095"/>
      <c r="AP251" s="1095"/>
      <c r="AQ251" s="1095"/>
      <c r="AR251" s="1095"/>
      <c r="AS251" s="1095"/>
      <c r="AT251" s="1095"/>
      <c r="AU251" s="1095"/>
    </row>
    <row r="252" spans="1:47" s="1077" customFormat="1" x14ac:dyDescent="0.25">
      <c r="A252" s="99">
        <v>591</v>
      </c>
      <c r="B252" s="1088">
        <v>591</v>
      </c>
      <c r="C252" s="1104">
        <v>591</v>
      </c>
      <c r="D252" s="1085" t="s">
        <v>375</v>
      </c>
      <c r="E252" s="1091">
        <v>1639682</v>
      </c>
      <c r="F252" s="1071">
        <v>0</v>
      </c>
      <c r="G252" s="1071">
        <v>0</v>
      </c>
      <c r="H252" s="1071">
        <v>5402610</v>
      </c>
      <c r="I252" s="1071">
        <v>72697</v>
      </c>
      <c r="J252" s="1072">
        <v>0</v>
      </c>
      <c r="K252" s="1096">
        <v>0</v>
      </c>
      <c r="L252" s="1097">
        <v>0</v>
      </c>
      <c r="M252" s="1097">
        <v>10411488</v>
      </c>
      <c r="N252" s="1097">
        <v>14712499</v>
      </c>
      <c r="O252" s="1097">
        <v>1512816</v>
      </c>
      <c r="P252" s="1097">
        <v>459500</v>
      </c>
      <c r="Q252" s="1097">
        <v>11507554</v>
      </c>
      <c r="R252" s="1097">
        <v>0</v>
      </c>
      <c r="S252" s="1097">
        <v>0</v>
      </c>
      <c r="T252" s="1097">
        <v>0</v>
      </c>
      <c r="U252" s="1097">
        <v>0</v>
      </c>
      <c r="V252" s="1097">
        <v>0</v>
      </c>
      <c r="W252" s="1097">
        <v>34403264</v>
      </c>
      <c r="X252" s="1097">
        <v>0</v>
      </c>
      <c r="Y252" s="1097">
        <v>2796162</v>
      </c>
      <c r="Z252" s="1097">
        <v>0</v>
      </c>
      <c r="AA252" s="1096">
        <v>0</v>
      </c>
      <c r="AB252" s="1096">
        <v>0</v>
      </c>
      <c r="AC252" s="1096">
        <v>0</v>
      </c>
      <c r="AD252" s="1096">
        <v>0</v>
      </c>
      <c r="AE252" s="1096">
        <v>0</v>
      </c>
      <c r="AF252" s="1096">
        <v>0</v>
      </c>
      <c r="AG252" s="1096">
        <v>12371647</v>
      </c>
      <c r="AH252" s="1096">
        <v>0</v>
      </c>
      <c r="AI252" s="1096">
        <v>0</v>
      </c>
      <c r="AJ252" s="1096">
        <v>1078180</v>
      </c>
      <c r="AK252" s="1096">
        <v>0</v>
      </c>
      <c r="AL252" s="1096">
        <v>25448765</v>
      </c>
      <c r="AM252" s="1096">
        <v>0</v>
      </c>
      <c r="AN252" s="1096">
        <v>0</v>
      </c>
      <c r="AO252" s="1096">
        <v>0</v>
      </c>
      <c r="AP252" s="1096">
        <v>0</v>
      </c>
      <c r="AQ252" s="1096">
        <v>0</v>
      </c>
      <c r="AR252" s="1096">
        <v>0</v>
      </c>
      <c r="AS252" s="1096">
        <v>5686591</v>
      </c>
      <c r="AT252" s="1096">
        <v>1470299</v>
      </c>
      <c r="AU252" s="1096">
        <v>0</v>
      </c>
    </row>
    <row r="253" spans="1:47" s="1077" customFormat="1" ht="30" x14ac:dyDescent="0.25">
      <c r="A253" s="99">
        <v>592</v>
      </c>
      <c r="B253" s="1088">
        <v>592</v>
      </c>
      <c r="C253" s="1088">
        <v>592</v>
      </c>
      <c r="D253" s="1085" t="s">
        <v>376</v>
      </c>
      <c r="E253" s="1091">
        <v>23395</v>
      </c>
      <c r="F253" s="1071">
        <v>0</v>
      </c>
      <c r="G253" s="1071">
        <v>0</v>
      </c>
      <c r="H253" s="1071">
        <v>-471402</v>
      </c>
      <c r="I253" s="1071">
        <v>142303</v>
      </c>
      <c r="J253" s="1072">
        <v>0</v>
      </c>
      <c r="K253" s="1096">
        <v>0</v>
      </c>
      <c r="L253" s="1097">
        <v>0</v>
      </c>
      <c r="M253" s="1097">
        <v>2958021</v>
      </c>
      <c r="N253" s="1097">
        <v>-1480304</v>
      </c>
      <c r="O253" s="1097">
        <v>-121599</v>
      </c>
      <c r="P253" s="1097">
        <v>-22171</v>
      </c>
      <c r="Q253" s="1097">
        <v>1253740</v>
      </c>
      <c r="R253" s="1097">
        <v>0</v>
      </c>
      <c r="S253" s="1097">
        <v>0</v>
      </c>
      <c r="T253" s="1097">
        <v>0</v>
      </c>
      <c r="U253" s="1097">
        <v>0</v>
      </c>
      <c r="V253" s="1097">
        <v>0</v>
      </c>
      <c r="W253" s="1097">
        <v>11794</v>
      </c>
      <c r="X253" s="1097">
        <v>0</v>
      </c>
      <c r="Y253" s="1097">
        <v>22331</v>
      </c>
      <c r="Z253" s="1097">
        <v>0</v>
      </c>
      <c r="AA253" s="1096">
        <v>0</v>
      </c>
      <c r="AB253" s="1096">
        <v>0</v>
      </c>
      <c r="AC253" s="1096">
        <v>0</v>
      </c>
      <c r="AD253" s="1096">
        <v>0</v>
      </c>
      <c r="AE253" s="1096">
        <v>0</v>
      </c>
      <c r="AF253" s="1096">
        <v>0</v>
      </c>
      <c r="AG253" s="1096">
        <v>6837097</v>
      </c>
      <c r="AH253" s="1096">
        <v>0</v>
      </c>
      <c r="AI253" s="1096">
        <v>0</v>
      </c>
      <c r="AJ253" s="1096">
        <v>277819</v>
      </c>
      <c r="AK253" s="1096">
        <v>0</v>
      </c>
      <c r="AL253" s="1096">
        <v>234251</v>
      </c>
      <c r="AM253" s="1096">
        <v>0</v>
      </c>
      <c r="AN253" s="1096">
        <v>0</v>
      </c>
      <c r="AO253" s="1096">
        <v>0</v>
      </c>
      <c r="AP253" s="1096">
        <v>0</v>
      </c>
      <c r="AQ253" s="1096">
        <v>0</v>
      </c>
      <c r="AR253" s="1096">
        <v>0</v>
      </c>
      <c r="AS253" s="1096">
        <v>480199</v>
      </c>
      <c r="AT253" s="1096">
        <v>224134</v>
      </c>
      <c r="AU253" s="1096">
        <v>0</v>
      </c>
    </row>
    <row r="254" spans="1:47" s="1077" customFormat="1" ht="120" x14ac:dyDescent="0.25">
      <c r="A254" s="99">
        <v>595</v>
      </c>
      <c r="B254" s="99"/>
      <c r="C254" s="1084">
        <v>595</v>
      </c>
      <c r="D254" s="1085" t="s">
        <v>1525</v>
      </c>
      <c r="E254" s="1091"/>
      <c r="F254" s="1071"/>
      <c r="G254" s="1071"/>
      <c r="H254" s="1071"/>
      <c r="I254" s="1071"/>
      <c r="J254" s="1072"/>
      <c r="K254" s="1096"/>
      <c r="L254" s="1097"/>
      <c r="M254" s="1097"/>
      <c r="N254" s="1097"/>
      <c r="O254" s="1097"/>
      <c r="P254" s="1097"/>
      <c r="Q254" s="1097"/>
      <c r="R254" s="1097"/>
      <c r="S254" s="1097"/>
      <c r="T254" s="1097"/>
      <c r="U254" s="1097"/>
      <c r="V254" s="1097"/>
      <c r="W254" s="1097"/>
      <c r="X254" s="1097"/>
      <c r="Y254" s="1097"/>
      <c r="Z254" s="1097"/>
      <c r="AA254" s="1096"/>
      <c r="AB254" s="1096"/>
      <c r="AC254" s="1096"/>
      <c r="AD254" s="1096"/>
      <c r="AE254" s="1096"/>
      <c r="AF254" s="1096"/>
      <c r="AG254" s="1096"/>
      <c r="AH254" s="1096"/>
      <c r="AI254" s="1096"/>
      <c r="AJ254" s="1096"/>
      <c r="AK254" s="1096"/>
      <c r="AL254" s="1096"/>
      <c r="AM254" s="1096"/>
      <c r="AN254" s="1096"/>
      <c r="AO254" s="1096"/>
      <c r="AP254" s="1096"/>
      <c r="AQ254" s="1096"/>
      <c r="AR254" s="1096"/>
      <c r="AS254" s="1096"/>
      <c r="AT254" s="1096"/>
      <c r="AU254" s="1096"/>
    </row>
    <row r="255" spans="1:47" s="1077" customFormat="1" x14ac:dyDescent="0.25">
      <c r="A255" s="1105">
        <v>596</v>
      </c>
      <c r="B255" s="1088"/>
      <c r="C255" s="99">
        <v>596</v>
      </c>
      <c r="D255" s="1106" t="s">
        <v>382</v>
      </c>
      <c r="E255" s="1091">
        <v>0</v>
      </c>
      <c r="F255" s="1071">
        <v>0</v>
      </c>
      <c r="G255" s="1071">
        <v>0</v>
      </c>
      <c r="H255" s="1071">
        <v>0</v>
      </c>
      <c r="I255" s="1071">
        <v>0</v>
      </c>
      <c r="J255" s="1072">
        <v>0</v>
      </c>
      <c r="K255" s="1096">
        <v>0</v>
      </c>
      <c r="L255" s="1097">
        <v>0</v>
      </c>
      <c r="M255" s="1097">
        <v>0</v>
      </c>
      <c r="N255" s="1097">
        <v>0</v>
      </c>
      <c r="O255" s="1097">
        <v>0</v>
      </c>
      <c r="P255" s="1097">
        <v>0</v>
      </c>
      <c r="Q255" s="1097">
        <v>0</v>
      </c>
      <c r="R255" s="1097">
        <v>0</v>
      </c>
      <c r="S255" s="1097">
        <v>0</v>
      </c>
      <c r="T255" s="1097">
        <v>0</v>
      </c>
      <c r="U255" s="1097">
        <v>0</v>
      </c>
      <c r="V255" s="1097">
        <v>0</v>
      </c>
      <c r="W255" s="1097">
        <v>0</v>
      </c>
      <c r="X255" s="1097">
        <v>0</v>
      </c>
      <c r="Y255" s="1097">
        <v>0</v>
      </c>
      <c r="Z255" s="1097">
        <v>0</v>
      </c>
      <c r="AA255" s="1096">
        <v>0</v>
      </c>
      <c r="AB255" s="1096">
        <v>0</v>
      </c>
      <c r="AC255" s="1096">
        <v>0</v>
      </c>
      <c r="AD255" s="1096">
        <v>0</v>
      </c>
      <c r="AE255" s="1096">
        <v>0</v>
      </c>
      <c r="AF255" s="1096">
        <v>0</v>
      </c>
      <c r="AG255" s="1096">
        <v>0</v>
      </c>
      <c r="AH255" s="1096">
        <v>0</v>
      </c>
      <c r="AI255" s="1096">
        <v>0</v>
      </c>
      <c r="AJ255" s="1096">
        <v>0</v>
      </c>
      <c r="AK255" s="1096">
        <v>0</v>
      </c>
      <c r="AL255" s="1096">
        <v>0</v>
      </c>
      <c r="AM255" s="1096">
        <v>0</v>
      </c>
      <c r="AN255" s="1096">
        <v>0</v>
      </c>
      <c r="AO255" s="1096">
        <v>0</v>
      </c>
      <c r="AP255" s="1096">
        <v>0</v>
      </c>
      <c r="AQ255" s="1096">
        <v>0</v>
      </c>
      <c r="AR255" s="1096">
        <v>0</v>
      </c>
      <c r="AS255" s="1096">
        <v>0</v>
      </c>
      <c r="AT255" s="1096">
        <v>0</v>
      </c>
      <c r="AU255" s="1096">
        <v>0</v>
      </c>
    </row>
    <row r="256" spans="1:47" s="1077" customFormat="1" x14ac:dyDescent="0.25">
      <c r="A256" s="1105">
        <v>597</v>
      </c>
      <c r="B256" s="1088"/>
      <c r="C256" s="99">
        <v>597</v>
      </c>
      <c r="D256" s="99" t="s">
        <v>421</v>
      </c>
      <c r="E256" s="99"/>
      <c r="F256" s="1071"/>
      <c r="G256" s="1071"/>
      <c r="H256" s="1071"/>
      <c r="I256" s="1071"/>
      <c r="J256" s="1072"/>
      <c r="K256" s="1096"/>
      <c r="L256" s="1097"/>
      <c r="M256" s="1097"/>
      <c r="N256" s="1097"/>
      <c r="O256" s="1097"/>
      <c r="P256" s="1097"/>
      <c r="Q256" s="1097"/>
      <c r="R256" s="1097"/>
      <c r="S256" s="1097"/>
      <c r="T256" s="1097"/>
      <c r="U256" s="1097"/>
      <c r="V256" s="1097"/>
      <c r="W256" s="1097"/>
      <c r="X256" s="1097"/>
      <c r="Y256" s="1097"/>
      <c r="Z256" s="1097"/>
      <c r="AA256" s="1096"/>
      <c r="AB256" s="1096"/>
      <c r="AC256" s="1096"/>
      <c r="AD256" s="1096"/>
      <c r="AE256" s="1096"/>
      <c r="AF256" s="1096"/>
      <c r="AG256" s="1096"/>
      <c r="AH256" s="1096"/>
      <c r="AI256" s="1096"/>
      <c r="AJ256" s="1096"/>
      <c r="AK256" s="1096"/>
      <c r="AL256" s="1096"/>
      <c r="AM256" s="1096"/>
      <c r="AN256" s="1096"/>
      <c r="AO256" s="1096"/>
      <c r="AP256" s="1096"/>
      <c r="AQ256" s="1096"/>
      <c r="AR256" s="1096"/>
      <c r="AS256" s="1096"/>
      <c r="AT256" s="1096"/>
      <c r="AU256" s="1096"/>
    </row>
    <row r="257" spans="1:47" s="1077" customFormat="1" x14ac:dyDescent="0.25">
      <c r="A257" s="1105" t="s">
        <v>819</v>
      </c>
      <c r="B257" s="1088"/>
      <c r="C257" s="99"/>
      <c r="D257" s="99" t="s">
        <v>819</v>
      </c>
      <c r="E257" s="99"/>
      <c r="F257" s="1071"/>
      <c r="G257" s="1071"/>
      <c r="H257" s="1071"/>
      <c r="I257" s="1071"/>
      <c r="J257" s="1072"/>
      <c r="K257" s="1096"/>
      <c r="L257" s="1097"/>
      <c r="M257" s="1097"/>
      <c r="N257" s="1097"/>
      <c r="O257" s="1097"/>
      <c r="P257" s="1097"/>
      <c r="Q257" s="1097"/>
      <c r="R257" s="1097"/>
      <c r="S257" s="1097"/>
      <c r="T257" s="1097"/>
      <c r="U257" s="1097"/>
      <c r="V257" s="1097"/>
      <c r="W257" s="1097"/>
      <c r="X257" s="1097"/>
      <c r="Y257" s="1097"/>
      <c r="Z257" s="1097"/>
      <c r="AA257" s="1096"/>
      <c r="AB257" s="1096"/>
      <c r="AC257" s="1096"/>
      <c r="AD257" s="1096"/>
      <c r="AE257" s="1096"/>
      <c r="AF257" s="1096"/>
      <c r="AG257" s="1096"/>
      <c r="AH257" s="1096"/>
      <c r="AI257" s="1096"/>
      <c r="AJ257" s="1096"/>
      <c r="AK257" s="1096"/>
      <c r="AL257" s="1096"/>
      <c r="AM257" s="1096"/>
      <c r="AN257" s="1096"/>
      <c r="AO257" s="1096"/>
      <c r="AP257" s="1096"/>
      <c r="AQ257" s="1096"/>
      <c r="AR257" s="1096"/>
      <c r="AS257" s="1096"/>
      <c r="AT257" s="1096"/>
      <c r="AU257" s="1096"/>
    </row>
    <row r="258" spans="1:47" s="1077" customFormat="1" x14ac:dyDescent="0.25">
      <c r="A258" s="99">
        <v>598</v>
      </c>
      <c r="B258" s="1088">
        <v>598</v>
      </c>
      <c r="C258" s="323">
        <v>598</v>
      </c>
      <c r="D258" s="1107" t="s">
        <v>334</v>
      </c>
      <c r="E258" s="1091">
        <v>0</v>
      </c>
      <c r="F258" s="1071">
        <v>0</v>
      </c>
      <c r="G258" s="1071">
        <v>0</v>
      </c>
      <c r="H258" s="1071">
        <v>0</v>
      </c>
      <c r="I258" s="1071">
        <v>0</v>
      </c>
      <c r="J258" s="1072">
        <v>0</v>
      </c>
      <c r="K258" s="1096">
        <v>0</v>
      </c>
      <c r="L258" s="1097">
        <v>0</v>
      </c>
      <c r="M258" s="1097">
        <v>0</v>
      </c>
      <c r="N258" s="1097">
        <v>0</v>
      </c>
      <c r="O258" s="1097">
        <v>0</v>
      </c>
      <c r="P258" s="1097">
        <v>0</v>
      </c>
      <c r="Q258" s="1097">
        <v>0</v>
      </c>
      <c r="R258" s="1097">
        <v>0</v>
      </c>
      <c r="S258" s="1097">
        <v>0</v>
      </c>
      <c r="T258" s="1097">
        <v>0</v>
      </c>
      <c r="U258" s="1097">
        <v>0</v>
      </c>
      <c r="V258" s="1097">
        <v>0</v>
      </c>
      <c r="W258" s="1097">
        <v>0</v>
      </c>
      <c r="X258" s="1097">
        <v>0</v>
      </c>
      <c r="Y258" s="1097">
        <v>0</v>
      </c>
      <c r="Z258" s="1097">
        <v>0</v>
      </c>
      <c r="AA258" s="1096">
        <v>0</v>
      </c>
      <c r="AB258" s="1096">
        <v>0</v>
      </c>
      <c r="AC258" s="1096">
        <v>0</v>
      </c>
      <c r="AD258" s="1096">
        <v>0</v>
      </c>
      <c r="AE258" s="1096">
        <v>0</v>
      </c>
      <c r="AF258" s="1096">
        <v>0</v>
      </c>
      <c r="AG258" s="1096">
        <v>0</v>
      </c>
      <c r="AH258" s="1096">
        <v>0</v>
      </c>
      <c r="AI258" s="1096">
        <v>0</v>
      </c>
      <c r="AJ258" s="1096">
        <v>0</v>
      </c>
      <c r="AK258" s="1096">
        <v>0</v>
      </c>
      <c r="AL258" s="1096">
        <v>0</v>
      </c>
      <c r="AM258" s="1096">
        <v>0</v>
      </c>
      <c r="AN258" s="1096">
        <v>0</v>
      </c>
      <c r="AO258" s="1096">
        <v>0</v>
      </c>
      <c r="AP258" s="1096">
        <v>0</v>
      </c>
      <c r="AQ258" s="1096">
        <v>0</v>
      </c>
      <c r="AR258" s="1096">
        <v>0</v>
      </c>
      <c r="AS258" s="1096">
        <v>0</v>
      </c>
      <c r="AT258" s="1096">
        <v>0</v>
      </c>
      <c r="AU258" s="1096">
        <v>0</v>
      </c>
    </row>
    <row r="259" spans="1:47" s="1077" customFormat="1" ht="30" x14ac:dyDescent="0.25">
      <c r="A259" s="99">
        <v>599</v>
      </c>
      <c r="B259" s="1088">
        <v>599</v>
      </c>
      <c r="C259" s="323">
        <v>599</v>
      </c>
      <c r="D259" s="1108" t="s">
        <v>1519</v>
      </c>
      <c r="E259" s="1091">
        <v>0</v>
      </c>
      <c r="F259" s="1071">
        <v>0</v>
      </c>
      <c r="G259" s="1071">
        <v>0</v>
      </c>
      <c r="H259" s="1071">
        <v>0</v>
      </c>
      <c r="I259" s="1071">
        <v>0</v>
      </c>
      <c r="J259" s="1072">
        <v>0</v>
      </c>
      <c r="K259" s="1096">
        <v>0</v>
      </c>
      <c r="L259" s="1097">
        <v>0</v>
      </c>
      <c r="M259" s="1097">
        <v>0</v>
      </c>
      <c r="N259" s="1097">
        <v>0</v>
      </c>
      <c r="O259" s="1097">
        <v>0</v>
      </c>
      <c r="P259" s="1097">
        <v>0</v>
      </c>
      <c r="Q259" s="1097">
        <v>0</v>
      </c>
      <c r="R259" s="1097">
        <v>0</v>
      </c>
      <c r="S259" s="1097">
        <v>0</v>
      </c>
      <c r="T259" s="1097">
        <v>0</v>
      </c>
      <c r="U259" s="1097">
        <v>0</v>
      </c>
      <c r="V259" s="1097">
        <v>0</v>
      </c>
      <c r="W259" s="1097">
        <v>0</v>
      </c>
      <c r="X259" s="1097">
        <v>0</v>
      </c>
      <c r="Y259" s="1097">
        <v>0</v>
      </c>
      <c r="Z259" s="1097">
        <v>0</v>
      </c>
      <c r="AA259" s="1096">
        <v>0</v>
      </c>
      <c r="AB259" s="1096">
        <v>0</v>
      </c>
      <c r="AC259" s="1096">
        <v>0</v>
      </c>
      <c r="AD259" s="1096">
        <v>0</v>
      </c>
      <c r="AE259" s="1096">
        <v>0</v>
      </c>
      <c r="AF259" s="1096">
        <v>0</v>
      </c>
      <c r="AG259" s="1096">
        <v>0</v>
      </c>
      <c r="AH259" s="1096">
        <v>0</v>
      </c>
      <c r="AI259" s="1096">
        <v>0</v>
      </c>
      <c r="AJ259" s="1096">
        <v>0</v>
      </c>
      <c r="AK259" s="1096">
        <v>0</v>
      </c>
      <c r="AL259" s="1096">
        <v>0</v>
      </c>
      <c r="AM259" s="1096">
        <v>0</v>
      </c>
      <c r="AN259" s="1096">
        <v>0</v>
      </c>
      <c r="AO259" s="1096">
        <v>0</v>
      </c>
      <c r="AP259" s="1096">
        <v>0</v>
      </c>
      <c r="AQ259" s="1096">
        <v>0</v>
      </c>
      <c r="AR259" s="1096">
        <v>0</v>
      </c>
      <c r="AS259" s="1096">
        <v>0</v>
      </c>
      <c r="AT259" s="1096">
        <v>0</v>
      </c>
      <c r="AU259" s="1096">
        <v>0</v>
      </c>
    </row>
    <row r="260" spans="1:47" s="1077" customFormat="1" ht="105" x14ac:dyDescent="0.25">
      <c r="A260" s="99">
        <v>600</v>
      </c>
      <c r="B260" s="99"/>
      <c r="C260" s="1109">
        <v>600</v>
      </c>
      <c r="D260" s="1108" t="s">
        <v>579</v>
      </c>
      <c r="E260" s="1091"/>
      <c r="F260" s="1071"/>
      <c r="G260" s="1071"/>
      <c r="H260" s="1071"/>
      <c r="I260" s="1071"/>
      <c r="J260" s="1072"/>
      <c r="K260" s="1096"/>
      <c r="L260" s="1097"/>
      <c r="M260" s="1097"/>
      <c r="N260" s="1097"/>
      <c r="O260" s="1097"/>
      <c r="P260" s="1097"/>
      <c r="Q260" s="1097"/>
      <c r="R260" s="1097"/>
      <c r="S260" s="1097"/>
      <c r="T260" s="1097"/>
      <c r="U260" s="1097"/>
      <c r="V260" s="1097"/>
      <c r="W260" s="1097"/>
      <c r="X260" s="1097"/>
      <c r="Y260" s="1097"/>
      <c r="Z260" s="1097"/>
      <c r="AA260" s="1096"/>
      <c r="AB260" s="1096"/>
      <c r="AC260" s="1096"/>
      <c r="AD260" s="1096"/>
      <c r="AE260" s="1096"/>
      <c r="AF260" s="1096"/>
      <c r="AG260" s="1096"/>
      <c r="AH260" s="1096"/>
      <c r="AI260" s="1096"/>
      <c r="AJ260" s="1096"/>
      <c r="AK260" s="1096"/>
      <c r="AL260" s="1096"/>
      <c r="AM260" s="1096"/>
      <c r="AN260" s="1096"/>
      <c r="AO260" s="1096"/>
      <c r="AP260" s="1096"/>
      <c r="AQ260" s="1096"/>
      <c r="AR260" s="1096"/>
      <c r="AS260" s="1096"/>
      <c r="AT260" s="1096"/>
      <c r="AU260" s="1096"/>
    </row>
    <row r="261" spans="1:47" s="1077" customFormat="1" ht="225" x14ac:dyDescent="0.25">
      <c r="A261" s="99">
        <v>601</v>
      </c>
      <c r="B261" s="99"/>
      <c r="C261" s="1110">
        <v>601</v>
      </c>
      <c r="D261" s="1108" t="s">
        <v>580</v>
      </c>
      <c r="E261" s="1091"/>
      <c r="F261" s="1071"/>
      <c r="G261" s="1071"/>
      <c r="H261" s="1071"/>
      <c r="I261" s="1071"/>
      <c r="J261" s="1072"/>
      <c r="K261" s="1096"/>
      <c r="L261" s="1097"/>
      <c r="M261" s="1097"/>
      <c r="N261" s="1097"/>
      <c r="O261" s="1097"/>
      <c r="P261" s="1097"/>
      <c r="Q261" s="1097"/>
      <c r="R261" s="1097"/>
      <c r="S261" s="1097"/>
      <c r="T261" s="1097"/>
      <c r="U261" s="1097"/>
      <c r="V261" s="1097"/>
      <c r="W261" s="1097"/>
      <c r="X261" s="1097"/>
      <c r="Y261" s="1097"/>
      <c r="Z261" s="1097"/>
      <c r="AA261" s="1096"/>
      <c r="AB261" s="1096"/>
      <c r="AC261" s="1096"/>
      <c r="AD261" s="1096"/>
      <c r="AE261" s="1096"/>
      <c r="AF261" s="1096"/>
      <c r="AG261" s="1096"/>
      <c r="AH261" s="1096"/>
      <c r="AI261" s="1096"/>
      <c r="AJ261" s="1096"/>
      <c r="AK261" s="1096"/>
      <c r="AL261" s="1096"/>
      <c r="AM261" s="1096"/>
      <c r="AN261" s="1096"/>
      <c r="AO261" s="1096"/>
      <c r="AP261" s="1096"/>
      <c r="AQ261" s="1096"/>
      <c r="AR261" s="1096"/>
      <c r="AS261" s="1096"/>
      <c r="AT261" s="1096"/>
      <c r="AU261" s="1096"/>
    </row>
    <row r="262" spans="1:47" s="1077" customFormat="1" ht="30" x14ac:dyDescent="0.25">
      <c r="A262" s="99">
        <v>602</v>
      </c>
      <c r="B262" s="1088">
        <v>602</v>
      </c>
      <c r="C262" s="323">
        <v>602</v>
      </c>
      <c r="D262" s="1111" t="s">
        <v>336</v>
      </c>
      <c r="E262" s="1091">
        <v>0</v>
      </c>
      <c r="F262" s="1071">
        <v>0</v>
      </c>
      <c r="G262" s="1071">
        <v>0</v>
      </c>
      <c r="H262" s="1071">
        <v>0</v>
      </c>
      <c r="I262" s="1071">
        <v>0</v>
      </c>
      <c r="J262" s="1072">
        <v>0</v>
      </c>
      <c r="K262" s="1096">
        <v>0</v>
      </c>
      <c r="L262" s="1097">
        <v>0</v>
      </c>
      <c r="M262" s="1097">
        <v>0</v>
      </c>
      <c r="N262" s="1097">
        <v>0</v>
      </c>
      <c r="O262" s="1097">
        <v>0</v>
      </c>
      <c r="P262" s="1097">
        <v>0</v>
      </c>
      <c r="Q262" s="1097">
        <v>0</v>
      </c>
      <c r="R262" s="1097">
        <v>0</v>
      </c>
      <c r="S262" s="1097">
        <v>0</v>
      </c>
      <c r="T262" s="1097">
        <v>0</v>
      </c>
      <c r="U262" s="1097">
        <v>0</v>
      </c>
      <c r="V262" s="1097">
        <v>0</v>
      </c>
      <c r="W262" s="1097">
        <v>0</v>
      </c>
      <c r="X262" s="1097">
        <v>0</v>
      </c>
      <c r="Y262" s="1097">
        <v>0</v>
      </c>
      <c r="Z262" s="1097">
        <v>0</v>
      </c>
      <c r="AA262" s="1096">
        <v>0</v>
      </c>
      <c r="AB262" s="1096">
        <v>0</v>
      </c>
      <c r="AC262" s="1096">
        <v>0</v>
      </c>
      <c r="AD262" s="1096">
        <v>0</v>
      </c>
      <c r="AE262" s="1096">
        <v>0</v>
      </c>
      <c r="AF262" s="1096">
        <v>0</v>
      </c>
      <c r="AG262" s="1096">
        <v>0</v>
      </c>
      <c r="AH262" s="1096">
        <v>0</v>
      </c>
      <c r="AI262" s="1096">
        <v>0</v>
      </c>
      <c r="AJ262" s="1096">
        <v>0</v>
      </c>
      <c r="AK262" s="1096">
        <v>0</v>
      </c>
      <c r="AL262" s="1096">
        <v>0</v>
      </c>
      <c r="AM262" s="1096">
        <v>0</v>
      </c>
      <c r="AN262" s="1096">
        <v>0</v>
      </c>
      <c r="AO262" s="1096">
        <v>0</v>
      </c>
      <c r="AP262" s="1096">
        <v>0</v>
      </c>
      <c r="AQ262" s="1096">
        <v>0</v>
      </c>
      <c r="AR262" s="1096">
        <v>0</v>
      </c>
      <c r="AS262" s="1096">
        <v>0</v>
      </c>
      <c r="AT262" s="1096">
        <v>0</v>
      </c>
      <c r="AU262" s="1096">
        <v>0</v>
      </c>
    </row>
    <row r="263" spans="1:47" s="1077" customFormat="1" ht="180" x14ac:dyDescent="0.25">
      <c r="A263" s="99">
        <v>603</v>
      </c>
      <c r="B263" s="1088"/>
      <c r="C263" s="99">
        <v>603</v>
      </c>
      <c r="D263" s="1112" t="s">
        <v>430</v>
      </c>
      <c r="E263" s="1091"/>
      <c r="F263" s="1071"/>
      <c r="G263" s="1071"/>
      <c r="H263" s="1071"/>
      <c r="I263" s="1071"/>
      <c r="J263" s="1072"/>
      <c r="K263" s="1096"/>
      <c r="L263" s="1097"/>
      <c r="M263" s="1097"/>
      <c r="N263" s="1097"/>
      <c r="O263" s="1097"/>
      <c r="P263" s="1097"/>
      <c r="Q263" s="1097"/>
      <c r="R263" s="1097"/>
      <c r="S263" s="1097"/>
      <c r="T263" s="1097"/>
      <c r="U263" s="1097"/>
      <c r="V263" s="1097"/>
      <c r="W263" s="1097"/>
      <c r="X263" s="1097"/>
      <c r="Y263" s="1097"/>
      <c r="Z263" s="1097"/>
      <c r="AA263" s="1096"/>
      <c r="AB263" s="1096"/>
      <c r="AC263" s="1096"/>
      <c r="AD263" s="1096"/>
      <c r="AE263" s="1096"/>
      <c r="AF263" s="1096"/>
      <c r="AG263" s="1096"/>
      <c r="AH263" s="1096"/>
      <c r="AI263" s="1096"/>
      <c r="AJ263" s="1096"/>
      <c r="AK263" s="1096"/>
      <c r="AL263" s="1096"/>
      <c r="AM263" s="1096"/>
      <c r="AN263" s="1096"/>
      <c r="AO263" s="1096"/>
      <c r="AP263" s="1096"/>
      <c r="AQ263" s="1096"/>
      <c r="AR263" s="1096"/>
      <c r="AS263" s="1096"/>
      <c r="AT263" s="1096"/>
      <c r="AU263" s="1096"/>
    </row>
    <row r="264" spans="1:47" s="1077" customFormat="1" ht="120" x14ac:dyDescent="0.25">
      <c r="A264" s="99">
        <v>604</v>
      </c>
      <c r="B264" s="1088"/>
      <c r="C264" s="99">
        <v>604</v>
      </c>
      <c r="D264" s="1112" t="s">
        <v>431</v>
      </c>
      <c r="E264" s="1091"/>
      <c r="F264" s="1071"/>
      <c r="G264" s="1071"/>
      <c r="H264" s="1071"/>
      <c r="I264" s="1071"/>
      <c r="J264" s="1072"/>
      <c r="K264" s="1096"/>
      <c r="L264" s="1097"/>
      <c r="M264" s="1097"/>
      <c r="N264" s="1097"/>
      <c r="O264" s="1097"/>
      <c r="P264" s="1097"/>
      <c r="Q264" s="1097"/>
      <c r="R264" s="1097"/>
      <c r="S264" s="1097"/>
      <c r="T264" s="1097"/>
      <c r="U264" s="1097"/>
      <c r="V264" s="1097"/>
      <c r="W264" s="1097"/>
      <c r="X264" s="1097"/>
      <c r="Y264" s="1097"/>
      <c r="Z264" s="1097"/>
      <c r="AA264" s="1096"/>
      <c r="AB264" s="1096"/>
      <c r="AC264" s="1096"/>
      <c r="AD264" s="1096"/>
      <c r="AE264" s="1096"/>
      <c r="AF264" s="1096"/>
      <c r="AG264" s="1096"/>
      <c r="AH264" s="1096"/>
      <c r="AI264" s="1096"/>
      <c r="AJ264" s="1096"/>
      <c r="AK264" s="1096"/>
      <c r="AL264" s="1096"/>
      <c r="AM264" s="1096"/>
      <c r="AN264" s="1096"/>
      <c r="AO264" s="1096"/>
      <c r="AP264" s="1096"/>
      <c r="AQ264" s="1096"/>
      <c r="AR264" s="1096"/>
      <c r="AS264" s="1096"/>
      <c r="AT264" s="1096"/>
      <c r="AU264" s="1096"/>
    </row>
    <row r="265" spans="1:47" s="1077" customFormat="1" ht="45" x14ac:dyDescent="0.25">
      <c r="A265" s="99">
        <v>605</v>
      </c>
      <c r="B265" s="1088"/>
      <c r="C265" s="99">
        <v>605</v>
      </c>
      <c r="D265" s="1112" t="s">
        <v>433</v>
      </c>
      <c r="E265" s="1091">
        <v>0</v>
      </c>
      <c r="F265" s="1071">
        <v>0</v>
      </c>
      <c r="G265" s="1071">
        <v>0</v>
      </c>
      <c r="H265" s="1071">
        <v>0</v>
      </c>
      <c r="I265" s="1071">
        <v>0</v>
      </c>
      <c r="J265" s="1072">
        <v>0</v>
      </c>
      <c r="K265" s="1096">
        <v>0</v>
      </c>
      <c r="L265" s="1097">
        <v>0</v>
      </c>
      <c r="M265" s="1097">
        <v>0</v>
      </c>
      <c r="N265" s="1097">
        <v>0</v>
      </c>
      <c r="O265" s="1097">
        <v>0</v>
      </c>
      <c r="P265" s="1097">
        <v>0</v>
      </c>
      <c r="Q265" s="1097">
        <v>0</v>
      </c>
      <c r="R265" s="1097">
        <v>0</v>
      </c>
      <c r="S265" s="1097">
        <v>0</v>
      </c>
      <c r="T265" s="1097">
        <v>0</v>
      </c>
      <c r="U265" s="1097">
        <v>0</v>
      </c>
      <c r="V265" s="1097">
        <v>0</v>
      </c>
      <c r="W265" s="1097">
        <v>0</v>
      </c>
      <c r="X265" s="1097">
        <v>0</v>
      </c>
      <c r="Y265" s="1097">
        <v>0</v>
      </c>
      <c r="Z265" s="1097">
        <v>0</v>
      </c>
      <c r="AA265" s="1096">
        <v>0</v>
      </c>
      <c r="AB265" s="1096">
        <v>0</v>
      </c>
      <c r="AC265" s="1096">
        <v>0</v>
      </c>
      <c r="AD265" s="1096">
        <v>0</v>
      </c>
      <c r="AE265" s="1096">
        <v>0</v>
      </c>
      <c r="AF265" s="1096">
        <v>0</v>
      </c>
      <c r="AG265" s="1096">
        <v>0</v>
      </c>
      <c r="AH265" s="1096">
        <v>0</v>
      </c>
      <c r="AI265" s="1096">
        <v>0</v>
      </c>
      <c r="AJ265" s="1096">
        <v>0</v>
      </c>
      <c r="AK265" s="1096">
        <v>0</v>
      </c>
      <c r="AL265" s="1096">
        <v>0</v>
      </c>
      <c r="AM265" s="1096">
        <v>0</v>
      </c>
      <c r="AN265" s="1096">
        <v>0</v>
      </c>
      <c r="AO265" s="1096">
        <v>0</v>
      </c>
      <c r="AP265" s="1096">
        <v>0</v>
      </c>
      <c r="AQ265" s="1096">
        <v>0</v>
      </c>
      <c r="AR265" s="1096">
        <v>0</v>
      </c>
      <c r="AS265" s="1096">
        <v>0</v>
      </c>
      <c r="AT265" s="1096">
        <v>0</v>
      </c>
      <c r="AU265" s="1096">
        <v>0</v>
      </c>
    </row>
    <row r="266" spans="1:47" s="1077" customFormat="1" ht="45" x14ac:dyDescent="0.25">
      <c r="A266" s="99">
        <v>606</v>
      </c>
      <c r="B266" s="1088">
        <v>606</v>
      </c>
      <c r="C266" s="99">
        <v>606</v>
      </c>
      <c r="D266" s="1112" t="s">
        <v>445</v>
      </c>
      <c r="E266" s="1091">
        <v>1</v>
      </c>
      <c r="F266" s="1071">
        <v>0</v>
      </c>
      <c r="G266" s="1071">
        <v>0</v>
      </c>
      <c r="H266" s="1071">
        <v>1</v>
      </c>
      <c r="I266" s="1071">
        <v>0</v>
      </c>
      <c r="J266" s="1072">
        <v>0</v>
      </c>
      <c r="K266" s="1096">
        <v>0</v>
      </c>
      <c r="L266" s="1097">
        <v>0</v>
      </c>
      <c r="M266" s="1097">
        <v>1</v>
      </c>
      <c r="N266" s="1097">
        <v>0</v>
      </c>
      <c r="O266" s="1097">
        <v>0</v>
      </c>
      <c r="P266" s="1097">
        <v>0</v>
      </c>
      <c r="Q266" s="1097">
        <v>0</v>
      </c>
      <c r="R266" s="1097">
        <v>0</v>
      </c>
      <c r="S266" s="1097">
        <v>0</v>
      </c>
      <c r="T266" s="1097">
        <v>0</v>
      </c>
      <c r="U266" s="1097">
        <v>0</v>
      </c>
      <c r="V266" s="1097">
        <v>0</v>
      </c>
      <c r="W266" s="1097">
        <v>0</v>
      </c>
      <c r="X266" s="1097">
        <v>0</v>
      </c>
      <c r="Y266" s="1097">
        <v>1</v>
      </c>
      <c r="Z266" s="1097">
        <v>0</v>
      </c>
      <c r="AA266" s="1096">
        <v>0</v>
      </c>
      <c r="AB266" s="1096">
        <v>0</v>
      </c>
      <c r="AC266" s="1096">
        <v>0</v>
      </c>
      <c r="AD266" s="1096">
        <v>0</v>
      </c>
      <c r="AE266" s="1096">
        <v>0</v>
      </c>
      <c r="AF266" s="1096">
        <v>1</v>
      </c>
      <c r="AG266" s="1096">
        <v>0</v>
      </c>
      <c r="AH266" s="1096">
        <v>0</v>
      </c>
      <c r="AI266" s="1096">
        <v>0</v>
      </c>
      <c r="AJ266" s="1096">
        <v>1</v>
      </c>
      <c r="AK266" s="1096">
        <v>0</v>
      </c>
      <c r="AL266" s="1096">
        <v>1</v>
      </c>
      <c r="AM266" s="1096">
        <v>0</v>
      </c>
      <c r="AN266" s="1096">
        <v>0</v>
      </c>
      <c r="AO266" s="1096">
        <v>0</v>
      </c>
      <c r="AP266" s="1096">
        <v>0</v>
      </c>
      <c r="AQ266" s="1096">
        <v>0</v>
      </c>
      <c r="AR266" s="1096">
        <v>0</v>
      </c>
      <c r="AS266" s="1096">
        <v>1</v>
      </c>
      <c r="AT266" s="1096">
        <v>0</v>
      </c>
      <c r="AU266" s="1096">
        <v>0</v>
      </c>
    </row>
    <row r="267" spans="1:47" s="1077" customFormat="1" x14ac:dyDescent="0.25">
      <c r="A267" s="99">
        <v>607</v>
      </c>
      <c r="B267" s="1088"/>
      <c r="C267" s="99">
        <v>607</v>
      </c>
      <c r="D267" s="1112" t="s">
        <v>423</v>
      </c>
      <c r="E267" s="1091">
        <v>0</v>
      </c>
      <c r="F267" s="1071">
        <v>0</v>
      </c>
      <c r="G267" s="1071">
        <v>0</v>
      </c>
      <c r="H267" s="1071">
        <v>0</v>
      </c>
      <c r="I267" s="1071">
        <v>0</v>
      </c>
      <c r="J267" s="1072">
        <v>0</v>
      </c>
      <c r="K267" s="1096">
        <v>0</v>
      </c>
      <c r="L267" s="1097">
        <v>0</v>
      </c>
      <c r="M267" s="1097">
        <v>0</v>
      </c>
      <c r="N267" s="1097">
        <v>0</v>
      </c>
      <c r="O267" s="1097">
        <v>0</v>
      </c>
      <c r="P267" s="1097">
        <v>0</v>
      </c>
      <c r="Q267" s="1097">
        <v>0</v>
      </c>
      <c r="R267" s="1097">
        <v>0</v>
      </c>
      <c r="S267" s="1097">
        <v>0</v>
      </c>
      <c r="T267" s="1097">
        <v>0</v>
      </c>
      <c r="U267" s="1097">
        <v>0</v>
      </c>
      <c r="V267" s="1097">
        <v>0</v>
      </c>
      <c r="W267" s="1097">
        <v>0</v>
      </c>
      <c r="X267" s="1097">
        <v>0</v>
      </c>
      <c r="Y267" s="1097">
        <v>0</v>
      </c>
      <c r="Z267" s="1097">
        <v>0</v>
      </c>
      <c r="AA267" s="1096">
        <v>0</v>
      </c>
      <c r="AB267" s="1096">
        <v>0</v>
      </c>
      <c r="AC267" s="1096">
        <v>0</v>
      </c>
      <c r="AD267" s="1096">
        <v>0</v>
      </c>
      <c r="AE267" s="1096">
        <v>0</v>
      </c>
      <c r="AF267" s="1096">
        <v>0</v>
      </c>
      <c r="AG267" s="1096">
        <v>0</v>
      </c>
      <c r="AH267" s="1096">
        <v>0</v>
      </c>
      <c r="AI267" s="1096">
        <v>0</v>
      </c>
      <c r="AJ267" s="1096">
        <v>0</v>
      </c>
      <c r="AK267" s="1096">
        <v>0</v>
      </c>
      <c r="AL267" s="1096">
        <v>0</v>
      </c>
      <c r="AM267" s="1096">
        <v>0</v>
      </c>
      <c r="AN267" s="1096">
        <v>0</v>
      </c>
      <c r="AO267" s="1096">
        <v>0</v>
      </c>
      <c r="AP267" s="1096">
        <v>0</v>
      </c>
      <c r="AQ267" s="1096">
        <v>0</v>
      </c>
      <c r="AR267" s="1096">
        <v>0</v>
      </c>
      <c r="AS267" s="1096">
        <v>0</v>
      </c>
      <c r="AT267" s="1096">
        <v>0</v>
      </c>
      <c r="AU267" s="1096">
        <v>0</v>
      </c>
    </row>
    <row r="268" spans="1:47" s="1077" customFormat="1" ht="30" x14ac:dyDescent="0.25">
      <c r="A268" s="99">
        <v>608</v>
      </c>
      <c r="B268" s="1088"/>
      <c r="C268" s="99">
        <v>608</v>
      </c>
      <c r="D268" s="1112" t="s">
        <v>424</v>
      </c>
      <c r="E268" s="1091">
        <v>0</v>
      </c>
      <c r="F268" s="1071">
        <v>0</v>
      </c>
      <c r="G268" s="1071">
        <v>0</v>
      </c>
      <c r="H268" s="1071">
        <v>0</v>
      </c>
      <c r="I268" s="1071">
        <v>0</v>
      </c>
      <c r="J268" s="1072">
        <v>0</v>
      </c>
      <c r="K268" s="1096">
        <v>0</v>
      </c>
      <c r="L268" s="1097">
        <v>0</v>
      </c>
      <c r="M268" s="1097">
        <v>0</v>
      </c>
      <c r="N268" s="1097">
        <v>0</v>
      </c>
      <c r="O268" s="1097">
        <v>0</v>
      </c>
      <c r="P268" s="1097">
        <v>0</v>
      </c>
      <c r="Q268" s="1097">
        <v>0</v>
      </c>
      <c r="R268" s="1097">
        <v>0</v>
      </c>
      <c r="S268" s="1097">
        <v>0</v>
      </c>
      <c r="T268" s="1097">
        <v>0</v>
      </c>
      <c r="U268" s="1097">
        <v>0</v>
      </c>
      <c r="V268" s="1097">
        <v>0</v>
      </c>
      <c r="W268" s="1097">
        <v>0</v>
      </c>
      <c r="X268" s="1097">
        <v>0</v>
      </c>
      <c r="Y268" s="1097">
        <v>0</v>
      </c>
      <c r="Z268" s="1097">
        <v>0</v>
      </c>
      <c r="AA268" s="1096">
        <v>0</v>
      </c>
      <c r="AB268" s="1096">
        <v>0</v>
      </c>
      <c r="AC268" s="1096">
        <v>0</v>
      </c>
      <c r="AD268" s="1096">
        <v>0</v>
      </c>
      <c r="AE268" s="1096">
        <v>0</v>
      </c>
      <c r="AF268" s="1096">
        <v>0</v>
      </c>
      <c r="AG268" s="1096">
        <v>0</v>
      </c>
      <c r="AH268" s="1096">
        <v>0</v>
      </c>
      <c r="AI268" s="1096">
        <v>0</v>
      </c>
      <c r="AJ268" s="1096">
        <v>0</v>
      </c>
      <c r="AK268" s="1096">
        <v>0</v>
      </c>
      <c r="AL268" s="1096">
        <v>0</v>
      </c>
      <c r="AM268" s="1096">
        <v>0</v>
      </c>
      <c r="AN268" s="1096">
        <v>0</v>
      </c>
      <c r="AO268" s="1096">
        <v>0</v>
      </c>
      <c r="AP268" s="1096">
        <v>0</v>
      </c>
      <c r="AQ268" s="1096">
        <v>0</v>
      </c>
      <c r="AR268" s="1096">
        <v>0</v>
      </c>
      <c r="AS268" s="1096">
        <v>0</v>
      </c>
      <c r="AT268" s="1096">
        <v>0</v>
      </c>
      <c r="AU268" s="1096">
        <v>0</v>
      </c>
    </row>
    <row r="269" spans="1:47" s="1077" customFormat="1" ht="45" x14ac:dyDescent="0.25">
      <c r="A269" s="99">
        <v>609</v>
      </c>
      <c r="B269" s="1088"/>
      <c r="C269" s="99">
        <v>609</v>
      </c>
      <c r="D269" s="1112" t="s">
        <v>1526</v>
      </c>
      <c r="E269" s="1113">
        <v>0</v>
      </c>
      <c r="F269" s="1074">
        <v>0</v>
      </c>
      <c r="G269" s="1074">
        <v>0</v>
      </c>
      <c r="H269" s="1074">
        <v>0</v>
      </c>
      <c r="I269" s="1074">
        <v>0</v>
      </c>
      <c r="J269" s="1075">
        <v>0</v>
      </c>
      <c r="K269" s="1114">
        <v>0</v>
      </c>
      <c r="L269" s="1115">
        <v>0</v>
      </c>
      <c r="M269" s="1115">
        <v>0</v>
      </c>
      <c r="N269" s="1115">
        <v>0</v>
      </c>
      <c r="O269" s="1115">
        <v>0</v>
      </c>
      <c r="P269" s="1115">
        <v>0</v>
      </c>
      <c r="Q269" s="1115">
        <v>0</v>
      </c>
      <c r="R269" s="1115">
        <v>0</v>
      </c>
      <c r="S269" s="1115">
        <v>0</v>
      </c>
      <c r="T269" s="1115">
        <v>0</v>
      </c>
      <c r="U269" s="1115">
        <v>0</v>
      </c>
      <c r="V269" s="1115">
        <v>0</v>
      </c>
      <c r="W269" s="1115">
        <v>0</v>
      </c>
      <c r="X269" s="1115">
        <v>0</v>
      </c>
      <c r="Y269" s="1115">
        <v>0</v>
      </c>
      <c r="Z269" s="1115">
        <v>0</v>
      </c>
      <c r="AA269" s="1114">
        <v>0</v>
      </c>
      <c r="AB269" s="1114">
        <v>0</v>
      </c>
      <c r="AC269" s="1114">
        <v>0</v>
      </c>
      <c r="AD269" s="1114">
        <v>0</v>
      </c>
      <c r="AE269" s="1114">
        <v>0</v>
      </c>
      <c r="AF269" s="1114">
        <v>0</v>
      </c>
      <c r="AG269" s="1114">
        <v>0</v>
      </c>
      <c r="AH269" s="1114">
        <v>0</v>
      </c>
      <c r="AI269" s="1114">
        <v>0</v>
      </c>
      <c r="AJ269" s="1114">
        <v>0</v>
      </c>
      <c r="AK269" s="1114">
        <v>0</v>
      </c>
      <c r="AL269" s="1114">
        <v>0</v>
      </c>
      <c r="AM269" s="1114">
        <v>0</v>
      </c>
      <c r="AN269" s="1114">
        <v>0</v>
      </c>
      <c r="AO269" s="1114">
        <v>0</v>
      </c>
      <c r="AP269" s="1114">
        <v>0</v>
      </c>
      <c r="AQ269" s="1114">
        <v>0</v>
      </c>
      <c r="AR269" s="1114">
        <v>0</v>
      </c>
      <c r="AS269" s="1114">
        <v>0</v>
      </c>
      <c r="AT269" s="1114">
        <v>0</v>
      </c>
      <c r="AU269" s="1114">
        <v>0</v>
      </c>
    </row>
    <row r="270" spans="1:47" s="1077" customFormat="1" x14ac:dyDescent="0.25">
      <c r="A270" s="99">
        <v>610</v>
      </c>
      <c r="B270" s="1088"/>
      <c r="C270" s="99">
        <v>610</v>
      </c>
      <c r="D270" s="1112" t="s">
        <v>425</v>
      </c>
      <c r="E270" s="1091">
        <v>0</v>
      </c>
      <c r="F270" s="1071">
        <v>0</v>
      </c>
      <c r="G270" s="1071">
        <v>0</v>
      </c>
      <c r="H270" s="1071">
        <v>0</v>
      </c>
      <c r="I270" s="1071">
        <v>0</v>
      </c>
      <c r="J270" s="1072">
        <v>0</v>
      </c>
      <c r="K270" s="1096">
        <v>0</v>
      </c>
      <c r="L270" s="1097">
        <v>0</v>
      </c>
      <c r="M270" s="1097">
        <v>0</v>
      </c>
      <c r="N270" s="1097">
        <v>0</v>
      </c>
      <c r="O270" s="1097">
        <v>0</v>
      </c>
      <c r="P270" s="1097">
        <v>0</v>
      </c>
      <c r="Q270" s="1097">
        <v>0</v>
      </c>
      <c r="R270" s="1097">
        <v>0</v>
      </c>
      <c r="S270" s="1097">
        <v>0</v>
      </c>
      <c r="T270" s="1097">
        <v>0</v>
      </c>
      <c r="U270" s="1097">
        <v>0</v>
      </c>
      <c r="V270" s="1097">
        <v>0</v>
      </c>
      <c r="W270" s="1097">
        <v>0</v>
      </c>
      <c r="X270" s="1097">
        <v>0</v>
      </c>
      <c r="Y270" s="1097">
        <v>0</v>
      </c>
      <c r="Z270" s="1097">
        <v>0</v>
      </c>
      <c r="AA270" s="1096">
        <v>0</v>
      </c>
      <c r="AB270" s="1096">
        <v>0</v>
      </c>
      <c r="AC270" s="1096">
        <v>0</v>
      </c>
      <c r="AD270" s="1096">
        <v>0</v>
      </c>
      <c r="AE270" s="1096">
        <v>0</v>
      </c>
      <c r="AF270" s="1096">
        <v>0</v>
      </c>
      <c r="AG270" s="1096">
        <v>0</v>
      </c>
      <c r="AH270" s="1096">
        <v>0</v>
      </c>
      <c r="AI270" s="1096">
        <v>0</v>
      </c>
      <c r="AJ270" s="1096">
        <v>0</v>
      </c>
      <c r="AK270" s="1096">
        <v>0</v>
      </c>
      <c r="AL270" s="1096">
        <v>0</v>
      </c>
      <c r="AM270" s="1096">
        <v>0</v>
      </c>
      <c r="AN270" s="1096">
        <v>0</v>
      </c>
      <c r="AO270" s="1096">
        <v>0</v>
      </c>
      <c r="AP270" s="1096">
        <v>0</v>
      </c>
      <c r="AQ270" s="1096">
        <v>0</v>
      </c>
      <c r="AR270" s="1096">
        <v>0</v>
      </c>
      <c r="AS270" s="1096">
        <v>0</v>
      </c>
      <c r="AT270" s="1096">
        <v>0</v>
      </c>
      <c r="AU270" s="1096">
        <v>0</v>
      </c>
    </row>
    <row r="271" spans="1:47" s="1077" customFormat="1" ht="30" x14ac:dyDescent="0.25">
      <c r="A271" s="99">
        <v>611</v>
      </c>
      <c r="B271" s="1088"/>
      <c r="C271" s="99">
        <v>611</v>
      </c>
      <c r="D271" s="1112" t="s">
        <v>426</v>
      </c>
      <c r="E271" s="1091">
        <v>0</v>
      </c>
      <c r="F271" s="1071">
        <v>0</v>
      </c>
      <c r="G271" s="1071">
        <v>0</v>
      </c>
      <c r="H271" s="1071">
        <v>0</v>
      </c>
      <c r="I271" s="1071">
        <v>0</v>
      </c>
      <c r="J271" s="1072">
        <v>0</v>
      </c>
      <c r="K271" s="1096">
        <v>0</v>
      </c>
      <c r="L271" s="1097">
        <v>0</v>
      </c>
      <c r="M271" s="1097">
        <v>0</v>
      </c>
      <c r="N271" s="1097">
        <v>0</v>
      </c>
      <c r="O271" s="1097">
        <v>0</v>
      </c>
      <c r="P271" s="1097">
        <v>0</v>
      </c>
      <c r="Q271" s="1097">
        <v>0</v>
      </c>
      <c r="R271" s="1097">
        <v>0</v>
      </c>
      <c r="S271" s="1097">
        <v>0</v>
      </c>
      <c r="T271" s="1097">
        <v>0</v>
      </c>
      <c r="U271" s="1097">
        <v>0</v>
      </c>
      <c r="V271" s="1097">
        <v>0</v>
      </c>
      <c r="W271" s="1097">
        <v>0</v>
      </c>
      <c r="X271" s="1097">
        <v>0</v>
      </c>
      <c r="Y271" s="1097">
        <v>0</v>
      </c>
      <c r="Z271" s="1097">
        <v>0</v>
      </c>
      <c r="AA271" s="1096">
        <v>0</v>
      </c>
      <c r="AB271" s="1096">
        <v>0</v>
      </c>
      <c r="AC271" s="1096">
        <v>0</v>
      </c>
      <c r="AD271" s="1096">
        <v>0</v>
      </c>
      <c r="AE271" s="1096">
        <v>0</v>
      </c>
      <c r="AF271" s="1096">
        <v>0</v>
      </c>
      <c r="AG271" s="1096">
        <v>0</v>
      </c>
      <c r="AH271" s="1096">
        <v>0</v>
      </c>
      <c r="AI271" s="1096">
        <v>0</v>
      </c>
      <c r="AJ271" s="1096">
        <v>0</v>
      </c>
      <c r="AK271" s="1096">
        <v>0</v>
      </c>
      <c r="AL271" s="1096">
        <v>0</v>
      </c>
      <c r="AM271" s="1096">
        <v>0</v>
      </c>
      <c r="AN271" s="1096">
        <v>0</v>
      </c>
      <c r="AO271" s="1096">
        <v>0</v>
      </c>
      <c r="AP271" s="1096">
        <v>0</v>
      </c>
      <c r="AQ271" s="1096">
        <v>0</v>
      </c>
      <c r="AR271" s="1096">
        <v>0</v>
      </c>
      <c r="AS271" s="1096">
        <v>0</v>
      </c>
      <c r="AT271" s="1096">
        <v>0</v>
      </c>
      <c r="AU271" s="1096">
        <v>0</v>
      </c>
    </row>
    <row r="272" spans="1:47" s="1077" customFormat="1" ht="45" x14ac:dyDescent="0.25">
      <c r="A272" s="99">
        <v>612</v>
      </c>
      <c r="B272" s="1088"/>
      <c r="C272" s="99">
        <v>612</v>
      </c>
      <c r="D272" s="1112" t="s">
        <v>1527</v>
      </c>
      <c r="E272" s="1113">
        <v>0</v>
      </c>
      <c r="F272" s="1074">
        <v>0</v>
      </c>
      <c r="G272" s="1074">
        <v>0</v>
      </c>
      <c r="H272" s="1074">
        <v>0</v>
      </c>
      <c r="I272" s="1074">
        <v>0</v>
      </c>
      <c r="J272" s="1075">
        <v>0</v>
      </c>
      <c r="K272" s="1114">
        <v>0</v>
      </c>
      <c r="L272" s="1115">
        <v>0</v>
      </c>
      <c r="M272" s="1115">
        <v>0</v>
      </c>
      <c r="N272" s="1115">
        <v>0</v>
      </c>
      <c r="O272" s="1115">
        <v>0</v>
      </c>
      <c r="P272" s="1115">
        <v>0</v>
      </c>
      <c r="Q272" s="1115">
        <v>0</v>
      </c>
      <c r="R272" s="1115">
        <v>0</v>
      </c>
      <c r="S272" s="1115">
        <v>0</v>
      </c>
      <c r="T272" s="1115">
        <v>0</v>
      </c>
      <c r="U272" s="1115">
        <v>0</v>
      </c>
      <c r="V272" s="1115">
        <v>0</v>
      </c>
      <c r="W272" s="1115">
        <v>0</v>
      </c>
      <c r="X272" s="1115">
        <v>0</v>
      </c>
      <c r="Y272" s="1115">
        <v>0</v>
      </c>
      <c r="Z272" s="1115">
        <v>0</v>
      </c>
      <c r="AA272" s="1114">
        <v>0</v>
      </c>
      <c r="AB272" s="1114">
        <v>0</v>
      </c>
      <c r="AC272" s="1114">
        <v>0</v>
      </c>
      <c r="AD272" s="1114">
        <v>0</v>
      </c>
      <c r="AE272" s="1114">
        <v>0</v>
      </c>
      <c r="AF272" s="1114">
        <v>0</v>
      </c>
      <c r="AG272" s="1114">
        <v>0</v>
      </c>
      <c r="AH272" s="1114">
        <v>0</v>
      </c>
      <c r="AI272" s="1114">
        <v>0</v>
      </c>
      <c r="AJ272" s="1114">
        <v>0</v>
      </c>
      <c r="AK272" s="1114">
        <v>0</v>
      </c>
      <c r="AL272" s="1114">
        <v>0</v>
      </c>
      <c r="AM272" s="1114">
        <v>0</v>
      </c>
      <c r="AN272" s="1114">
        <v>0</v>
      </c>
      <c r="AO272" s="1114">
        <v>0</v>
      </c>
      <c r="AP272" s="1114">
        <v>0</v>
      </c>
      <c r="AQ272" s="1114">
        <v>0</v>
      </c>
      <c r="AR272" s="1114">
        <v>0</v>
      </c>
      <c r="AS272" s="1114">
        <v>0</v>
      </c>
      <c r="AT272" s="1114">
        <v>0</v>
      </c>
      <c r="AU272" s="1114">
        <v>0</v>
      </c>
    </row>
    <row r="273" spans="1:47" s="1077" customFormat="1" x14ac:dyDescent="0.25">
      <c r="A273" s="99">
        <v>613</v>
      </c>
      <c r="B273" s="1088"/>
      <c r="C273" s="99">
        <v>613</v>
      </c>
      <c r="D273" s="1112" t="s">
        <v>434</v>
      </c>
      <c r="E273" s="1091">
        <v>0</v>
      </c>
      <c r="F273" s="1071">
        <v>0</v>
      </c>
      <c r="G273" s="1071">
        <v>0</v>
      </c>
      <c r="H273" s="1071">
        <v>0</v>
      </c>
      <c r="I273" s="1071">
        <v>0</v>
      </c>
      <c r="J273" s="1072">
        <v>0</v>
      </c>
      <c r="K273" s="1096">
        <v>0</v>
      </c>
      <c r="L273" s="1097">
        <v>0</v>
      </c>
      <c r="M273" s="1097">
        <v>0</v>
      </c>
      <c r="N273" s="1097">
        <v>0</v>
      </c>
      <c r="O273" s="1097">
        <v>0</v>
      </c>
      <c r="P273" s="1097">
        <v>0</v>
      </c>
      <c r="Q273" s="1097">
        <v>0</v>
      </c>
      <c r="R273" s="1097">
        <v>0</v>
      </c>
      <c r="S273" s="1097">
        <v>0</v>
      </c>
      <c r="T273" s="1097">
        <v>0</v>
      </c>
      <c r="U273" s="1097">
        <v>0</v>
      </c>
      <c r="V273" s="1097">
        <v>0</v>
      </c>
      <c r="W273" s="1097">
        <v>0</v>
      </c>
      <c r="X273" s="1097">
        <v>0</v>
      </c>
      <c r="Y273" s="1097">
        <v>0</v>
      </c>
      <c r="Z273" s="1097">
        <v>0</v>
      </c>
      <c r="AA273" s="1096">
        <v>0</v>
      </c>
      <c r="AB273" s="1096">
        <v>0</v>
      </c>
      <c r="AC273" s="1096">
        <v>0</v>
      </c>
      <c r="AD273" s="1096">
        <v>0</v>
      </c>
      <c r="AE273" s="1096">
        <v>0</v>
      </c>
      <c r="AF273" s="1096">
        <v>0</v>
      </c>
      <c r="AG273" s="1096">
        <v>0</v>
      </c>
      <c r="AH273" s="1096">
        <v>0</v>
      </c>
      <c r="AI273" s="1096">
        <v>0</v>
      </c>
      <c r="AJ273" s="1096">
        <v>0</v>
      </c>
      <c r="AK273" s="1096">
        <v>0</v>
      </c>
      <c r="AL273" s="1096">
        <v>0</v>
      </c>
      <c r="AM273" s="1096">
        <v>0</v>
      </c>
      <c r="AN273" s="1096">
        <v>0</v>
      </c>
      <c r="AO273" s="1096">
        <v>0</v>
      </c>
      <c r="AP273" s="1096">
        <v>0</v>
      </c>
      <c r="AQ273" s="1096">
        <v>0</v>
      </c>
      <c r="AR273" s="1096">
        <v>0</v>
      </c>
      <c r="AS273" s="1096">
        <v>0</v>
      </c>
      <c r="AT273" s="1096">
        <v>0</v>
      </c>
      <c r="AU273" s="1096">
        <v>0</v>
      </c>
    </row>
    <row r="274" spans="1:47" s="1077" customFormat="1" ht="30" x14ac:dyDescent="0.25">
      <c r="A274" s="99">
        <v>614</v>
      </c>
      <c r="B274" s="1088"/>
      <c r="C274" s="99">
        <v>614</v>
      </c>
      <c r="D274" s="1112" t="s">
        <v>427</v>
      </c>
      <c r="E274" s="1091">
        <v>0</v>
      </c>
      <c r="F274" s="1071">
        <v>0</v>
      </c>
      <c r="G274" s="1071">
        <v>0</v>
      </c>
      <c r="H274" s="1071">
        <v>0</v>
      </c>
      <c r="I274" s="1071">
        <v>0</v>
      </c>
      <c r="J274" s="1072">
        <v>0</v>
      </c>
      <c r="K274" s="1096">
        <v>0</v>
      </c>
      <c r="L274" s="1097">
        <v>0</v>
      </c>
      <c r="M274" s="1097">
        <v>0</v>
      </c>
      <c r="N274" s="1097">
        <v>0</v>
      </c>
      <c r="O274" s="1097">
        <v>0</v>
      </c>
      <c r="P274" s="1097">
        <v>0</v>
      </c>
      <c r="Q274" s="1097">
        <v>0</v>
      </c>
      <c r="R274" s="1097">
        <v>0</v>
      </c>
      <c r="S274" s="1097">
        <v>0</v>
      </c>
      <c r="T274" s="1097">
        <v>0</v>
      </c>
      <c r="U274" s="1097">
        <v>0</v>
      </c>
      <c r="V274" s="1097">
        <v>0</v>
      </c>
      <c r="W274" s="1097">
        <v>0</v>
      </c>
      <c r="X274" s="1097">
        <v>0</v>
      </c>
      <c r="Y274" s="1097">
        <v>0</v>
      </c>
      <c r="Z274" s="1097">
        <v>0</v>
      </c>
      <c r="AA274" s="1096">
        <v>0</v>
      </c>
      <c r="AB274" s="1096">
        <v>0</v>
      </c>
      <c r="AC274" s="1096">
        <v>0</v>
      </c>
      <c r="AD274" s="1096">
        <v>0</v>
      </c>
      <c r="AE274" s="1096">
        <v>0</v>
      </c>
      <c r="AF274" s="1096">
        <v>0</v>
      </c>
      <c r="AG274" s="1096">
        <v>0</v>
      </c>
      <c r="AH274" s="1096">
        <v>0</v>
      </c>
      <c r="AI274" s="1096">
        <v>0</v>
      </c>
      <c r="AJ274" s="1096">
        <v>0</v>
      </c>
      <c r="AK274" s="1096">
        <v>0</v>
      </c>
      <c r="AL274" s="1096">
        <v>0</v>
      </c>
      <c r="AM274" s="1096">
        <v>0</v>
      </c>
      <c r="AN274" s="1096">
        <v>0</v>
      </c>
      <c r="AO274" s="1096">
        <v>0</v>
      </c>
      <c r="AP274" s="1096">
        <v>0</v>
      </c>
      <c r="AQ274" s="1096">
        <v>0</v>
      </c>
      <c r="AR274" s="1096">
        <v>0</v>
      </c>
      <c r="AS274" s="1096">
        <v>0</v>
      </c>
      <c r="AT274" s="1096">
        <v>0</v>
      </c>
      <c r="AU274" s="1096">
        <v>0</v>
      </c>
    </row>
    <row r="275" spans="1:47" s="1077" customFormat="1" ht="45" x14ac:dyDescent="0.25">
      <c r="A275" s="99">
        <v>615</v>
      </c>
      <c r="B275" s="1088"/>
      <c r="C275" s="99">
        <v>615</v>
      </c>
      <c r="D275" s="1112" t="s">
        <v>1528</v>
      </c>
      <c r="E275" s="1113">
        <v>0</v>
      </c>
      <c r="F275" s="1074">
        <v>0</v>
      </c>
      <c r="G275" s="1074">
        <v>0</v>
      </c>
      <c r="H275" s="1074">
        <v>0</v>
      </c>
      <c r="I275" s="1074">
        <v>0</v>
      </c>
      <c r="J275" s="1075">
        <v>0</v>
      </c>
      <c r="K275" s="1114">
        <v>0</v>
      </c>
      <c r="L275" s="1115">
        <v>0</v>
      </c>
      <c r="M275" s="1115">
        <v>0</v>
      </c>
      <c r="N275" s="1115">
        <v>0</v>
      </c>
      <c r="O275" s="1115">
        <v>0</v>
      </c>
      <c r="P275" s="1115">
        <v>0</v>
      </c>
      <c r="Q275" s="1115">
        <v>0</v>
      </c>
      <c r="R275" s="1115">
        <v>0</v>
      </c>
      <c r="S275" s="1115">
        <v>0</v>
      </c>
      <c r="T275" s="1115">
        <v>0</v>
      </c>
      <c r="U275" s="1115">
        <v>0</v>
      </c>
      <c r="V275" s="1115">
        <v>0</v>
      </c>
      <c r="W275" s="1115">
        <v>0</v>
      </c>
      <c r="X275" s="1115">
        <v>0</v>
      </c>
      <c r="Y275" s="1115">
        <v>0</v>
      </c>
      <c r="Z275" s="1115">
        <v>0</v>
      </c>
      <c r="AA275" s="1114">
        <v>0</v>
      </c>
      <c r="AB275" s="1114">
        <v>0</v>
      </c>
      <c r="AC275" s="1114">
        <v>0</v>
      </c>
      <c r="AD275" s="1114">
        <v>0</v>
      </c>
      <c r="AE275" s="1114">
        <v>0</v>
      </c>
      <c r="AF275" s="1114">
        <v>0</v>
      </c>
      <c r="AG275" s="1114">
        <v>0</v>
      </c>
      <c r="AH275" s="1114">
        <v>0</v>
      </c>
      <c r="AI275" s="1114">
        <v>0</v>
      </c>
      <c r="AJ275" s="1114">
        <v>0</v>
      </c>
      <c r="AK275" s="1114">
        <v>0</v>
      </c>
      <c r="AL275" s="1114">
        <v>0</v>
      </c>
      <c r="AM275" s="1114">
        <v>0</v>
      </c>
      <c r="AN275" s="1114">
        <v>0</v>
      </c>
      <c r="AO275" s="1114">
        <v>0</v>
      </c>
      <c r="AP275" s="1114">
        <v>0</v>
      </c>
      <c r="AQ275" s="1114">
        <v>0</v>
      </c>
      <c r="AR275" s="1114">
        <v>0</v>
      </c>
      <c r="AS275" s="1114">
        <v>0</v>
      </c>
      <c r="AT275" s="1114">
        <v>0</v>
      </c>
      <c r="AU275" s="1114">
        <v>0</v>
      </c>
    </row>
    <row r="276" spans="1:47" s="1077" customFormat="1" x14ac:dyDescent="0.25">
      <c r="A276" s="99">
        <v>616</v>
      </c>
      <c r="B276" s="1088"/>
      <c r="C276" s="99">
        <v>616</v>
      </c>
      <c r="D276" s="1112" t="s">
        <v>428</v>
      </c>
      <c r="E276" s="1091">
        <v>0</v>
      </c>
      <c r="F276" s="1071">
        <v>0</v>
      </c>
      <c r="G276" s="1071">
        <v>0</v>
      </c>
      <c r="H276" s="1071">
        <v>0</v>
      </c>
      <c r="I276" s="1071">
        <v>0</v>
      </c>
      <c r="J276" s="1072">
        <v>0</v>
      </c>
      <c r="K276" s="1096">
        <v>0</v>
      </c>
      <c r="L276" s="1097">
        <v>0</v>
      </c>
      <c r="M276" s="1097">
        <v>0</v>
      </c>
      <c r="N276" s="1097">
        <v>0</v>
      </c>
      <c r="O276" s="1097">
        <v>0</v>
      </c>
      <c r="P276" s="1097">
        <v>0</v>
      </c>
      <c r="Q276" s="1097">
        <v>0</v>
      </c>
      <c r="R276" s="1097">
        <v>0</v>
      </c>
      <c r="S276" s="1097">
        <v>0</v>
      </c>
      <c r="T276" s="1097">
        <v>0</v>
      </c>
      <c r="U276" s="1097">
        <v>0</v>
      </c>
      <c r="V276" s="1097">
        <v>0</v>
      </c>
      <c r="W276" s="1097">
        <v>0</v>
      </c>
      <c r="X276" s="1097">
        <v>0</v>
      </c>
      <c r="Y276" s="1097">
        <v>0</v>
      </c>
      <c r="Z276" s="1097">
        <v>0</v>
      </c>
      <c r="AA276" s="1096">
        <v>0</v>
      </c>
      <c r="AB276" s="1096">
        <v>0</v>
      </c>
      <c r="AC276" s="1096">
        <v>0</v>
      </c>
      <c r="AD276" s="1096">
        <v>0</v>
      </c>
      <c r="AE276" s="1096">
        <v>0</v>
      </c>
      <c r="AF276" s="1096">
        <v>0</v>
      </c>
      <c r="AG276" s="1096">
        <v>0</v>
      </c>
      <c r="AH276" s="1096">
        <v>0</v>
      </c>
      <c r="AI276" s="1096">
        <v>0</v>
      </c>
      <c r="AJ276" s="1096">
        <v>0</v>
      </c>
      <c r="AK276" s="1096">
        <v>0</v>
      </c>
      <c r="AL276" s="1096">
        <v>0</v>
      </c>
      <c r="AM276" s="1096">
        <v>0</v>
      </c>
      <c r="AN276" s="1096">
        <v>0</v>
      </c>
      <c r="AO276" s="1096">
        <v>0</v>
      </c>
      <c r="AP276" s="1096">
        <v>0</v>
      </c>
      <c r="AQ276" s="1096">
        <v>0</v>
      </c>
      <c r="AR276" s="1096">
        <v>0</v>
      </c>
      <c r="AS276" s="1096">
        <v>0</v>
      </c>
      <c r="AT276" s="1096">
        <v>0</v>
      </c>
      <c r="AU276" s="1096">
        <v>0</v>
      </c>
    </row>
    <row r="277" spans="1:47" s="1077" customFormat="1" ht="30" x14ac:dyDescent="0.25">
      <c r="A277" s="99">
        <v>617</v>
      </c>
      <c r="B277" s="1088"/>
      <c r="C277" s="99">
        <v>617</v>
      </c>
      <c r="D277" s="1112" t="s">
        <v>429</v>
      </c>
      <c r="E277" s="1091">
        <v>0</v>
      </c>
      <c r="F277" s="1071">
        <v>0</v>
      </c>
      <c r="G277" s="1071">
        <v>0</v>
      </c>
      <c r="H277" s="1071">
        <v>0</v>
      </c>
      <c r="I277" s="1071">
        <v>0</v>
      </c>
      <c r="J277" s="1072">
        <v>0</v>
      </c>
      <c r="K277" s="1096">
        <v>0</v>
      </c>
      <c r="L277" s="1097">
        <v>0</v>
      </c>
      <c r="M277" s="1097">
        <v>0</v>
      </c>
      <c r="N277" s="1097">
        <v>0</v>
      </c>
      <c r="O277" s="1097">
        <v>0</v>
      </c>
      <c r="P277" s="1097">
        <v>0</v>
      </c>
      <c r="Q277" s="1097">
        <v>0</v>
      </c>
      <c r="R277" s="1097">
        <v>0</v>
      </c>
      <c r="S277" s="1097">
        <v>0</v>
      </c>
      <c r="T277" s="1097">
        <v>0</v>
      </c>
      <c r="U277" s="1097">
        <v>0</v>
      </c>
      <c r="V277" s="1097">
        <v>0</v>
      </c>
      <c r="W277" s="1097">
        <v>0</v>
      </c>
      <c r="X277" s="1097">
        <v>0</v>
      </c>
      <c r="Y277" s="1097">
        <v>0</v>
      </c>
      <c r="Z277" s="1097">
        <v>0</v>
      </c>
      <c r="AA277" s="1096">
        <v>0</v>
      </c>
      <c r="AB277" s="1096">
        <v>0</v>
      </c>
      <c r="AC277" s="1096">
        <v>0</v>
      </c>
      <c r="AD277" s="1096">
        <v>0</v>
      </c>
      <c r="AE277" s="1096">
        <v>0</v>
      </c>
      <c r="AF277" s="1096">
        <v>0</v>
      </c>
      <c r="AG277" s="1096">
        <v>0</v>
      </c>
      <c r="AH277" s="1096">
        <v>0</v>
      </c>
      <c r="AI277" s="1096">
        <v>0</v>
      </c>
      <c r="AJ277" s="1096">
        <v>0</v>
      </c>
      <c r="AK277" s="1096">
        <v>0</v>
      </c>
      <c r="AL277" s="1096">
        <v>0</v>
      </c>
      <c r="AM277" s="1096">
        <v>0</v>
      </c>
      <c r="AN277" s="1096">
        <v>0</v>
      </c>
      <c r="AO277" s="1096">
        <v>0</v>
      </c>
      <c r="AP277" s="1096">
        <v>0</v>
      </c>
      <c r="AQ277" s="1096">
        <v>0</v>
      </c>
      <c r="AR277" s="1096">
        <v>0</v>
      </c>
      <c r="AS277" s="1096">
        <v>0</v>
      </c>
      <c r="AT277" s="1096">
        <v>0</v>
      </c>
      <c r="AU277" s="1096">
        <v>0</v>
      </c>
    </row>
    <row r="278" spans="1:47" s="1077" customFormat="1" ht="45" x14ac:dyDescent="0.25">
      <c r="A278" s="99">
        <v>618</v>
      </c>
      <c r="B278" s="1088"/>
      <c r="C278" s="99">
        <v>618</v>
      </c>
      <c r="D278" s="1112" t="s">
        <v>1529</v>
      </c>
      <c r="E278" s="1113">
        <v>0</v>
      </c>
      <c r="F278" s="1074">
        <v>0</v>
      </c>
      <c r="G278" s="1074">
        <v>0</v>
      </c>
      <c r="H278" s="1074">
        <v>0</v>
      </c>
      <c r="I278" s="1074">
        <v>0</v>
      </c>
      <c r="J278" s="1075">
        <v>0</v>
      </c>
      <c r="K278" s="1114">
        <v>0</v>
      </c>
      <c r="L278" s="1115">
        <v>0</v>
      </c>
      <c r="M278" s="1115">
        <v>0</v>
      </c>
      <c r="N278" s="1115">
        <v>0</v>
      </c>
      <c r="O278" s="1115">
        <v>0</v>
      </c>
      <c r="P278" s="1115">
        <v>0</v>
      </c>
      <c r="Q278" s="1115">
        <v>0</v>
      </c>
      <c r="R278" s="1115">
        <v>0</v>
      </c>
      <c r="S278" s="1115">
        <v>0</v>
      </c>
      <c r="T278" s="1115">
        <v>0</v>
      </c>
      <c r="U278" s="1115">
        <v>0</v>
      </c>
      <c r="V278" s="1115">
        <v>0</v>
      </c>
      <c r="W278" s="1115">
        <v>0</v>
      </c>
      <c r="X278" s="1115">
        <v>0</v>
      </c>
      <c r="Y278" s="1115">
        <v>0</v>
      </c>
      <c r="Z278" s="1115">
        <v>0</v>
      </c>
      <c r="AA278" s="1114">
        <v>0</v>
      </c>
      <c r="AB278" s="1114">
        <v>0</v>
      </c>
      <c r="AC278" s="1114">
        <v>0</v>
      </c>
      <c r="AD278" s="1114">
        <v>0</v>
      </c>
      <c r="AE278" s="1114">
        <v>0</v>
      </c>
      <c r="AF278" s="1114">
        <v>0</v>
      </c>
      <c r="AG278" s="1114">
        <v>0</v>
      </c>
      <c r="AH278" s="1114">
        <v>0</v>
      </c>
      <c r="AI278" s="1114">
        <v>0</v>
      </c>
      <c r="AJ278" s="1114">
        <v>0</v>
      </c>
      <c r="AK278" s="1114">
        <v>0</v>
      </c>
      <c r="AL278" s="1114">
        <v>0</v>
      </c>
      <c r="AM278" s="1114">
        <v>0</v>
      </c>
      <c r="AN278" s="1114">
        <v>0</v>
      </c>
      <c r="AO278" s="1114">
        <v>0</v>
      </c>
      <c r="AP278" s="1114">
        <v>0</v>
      </c>
      <c r="AQ278" s="1114">
        <v>0</v>
      </c>
      <c r="AR278" s="1114">
        <v>0</v>
      </c>
      <c r="AS278" s="1114">
        <v>0</v>
      </c>
      <c r="AT278" s="1114">
        <v>0</v>
      </c>
      <c r="AU278" s="1114">
        <v>0</v>
      </c>
    </row>
    <row r="279" spans="1:47" s="1077" customFormat="1" ht="30" x14ac:dyDescent="0.25">
      <c r="A279" s="99">
        <v>619</v>
      </c>
      <c r="B279" s="1088">
        <v>619</v>
      </c>
      <c r="C279" s="99">
        <v>619</v>
      </c>
      <c r="D279" s="1112" t="s">
        <v>443</v>
      </c>
      <c r="E279" s="1113">
        <v>0</v>
      </c>
      <c r="F279" s="1074">
        <v>0</v>
      </c>
      <c r="G279" s="1074">
        <v>0</v>
      </c>
      <c r="H279" s="1074">
        <v>0</v>
      </c>
      <c r="I279" s="1074">
        <v>0</v>
      </c>
      <c r="J279" s="1075">
        <v>0</v>
      </c>
      <c r="K279" s="1114">
        <v>0</v>
      </c>
      <c r="L279" s="1115">
        <v>0</v>
      </c>
      <c r="M279" s="1115">
        <v>0</v>
      </c>
      <c r="N279" s="1115">
        <v>0</v>
      </c>
      <c r="O279" s="1115">
        <v>0</v>
      </c>
      <c r="P279" s="1115">
        <v>0</v>
      </c>
      <c r="Q279" s="1115">
        <v>0</v>
      </c>
      <c r="R279" s="1115">
        <v>0</v>
      </c>
      <c r="S279" s="1115">
        <v>0</v>
      </c>
      <c r="T279" s="1115">
        <v>0</v>
      </c>
      <c r="U279" s="1115">
        <v>0</v>
      </c>
      <c r="V279" s="1115">
        <v>0</v>
      </c>
      <c r="W279" s="1115">
        <v>0</v>
      </c>
      <c r="X279" s="1115">
        <v>0</v>
      </c>
      <c r="Y279" s="1115">
        <v>0</v>
      </c>
      <c r="Z279" s="1115">
        <v>0</v>
      </c>
      <c r="AA279" s="1114">
        <v>0</v>
      </c>
      <c r="AB279" s="1114">
        <v>0</v>
      </c>
      <c r="AC279" s="1114">
        <v>0</v>
      </c>
      <c r="AD279" s="1114">
        <v>0</v>
      </c>
      <c r="AE279" s="1114">
        <v>0</v>
      </c>
      <c r="AF279" s="1114">
        <v>0</v>
      </c>
      <c r="AG279" s="1114">
        <v>0</v>
      </c>
      <c r="AH279" s="1114">
        <v>0</v>
      </c>
      <c r="AI279" s="1114">
        <v>0</v>
      </c>
      <c r="AJ279" s="1114">
        <v>0</v>
      </c>
      <c r="AK279" s="1114">
        <v>0</v>
      </c>
      <c r="AL279" s="1114">
        <v>0</v>
      </c>
      <c r="AM279" s="1114">
        <v>0</v>
      </c>
      <c r="AN279" s="1114">
        <v>0</v>
      </c>
      <c r="AO279" s="1114">
        <v>0</v>
      </c>
      <c r="AP279" s="1114">
        <v>0</v>
      </c>
      <c r="AQ279" s="1114">
        <v>0</v>
      </c>
      <c r="AR279" s="1114">
        <v>0</v>
      </c>
      <c r="AS279" s="1114">
        <v>0</v>
      </c>
      <c r="AT279" s="1114">
        <v>0</v>
      </c>
      <c r="AU279" s="1114">
        <v>0</v>
      </c>
    </row>
    <row r="280" spans="1:47" s="1077" customFormat="1" ht="75" x14ac:dyDescent="0.25">
      <c r="A280" s="99">
        <v>620</v>
      </c>
      <c r="B280" s="1088">
        <v>620</v>
      </c>
      <c r="C280" s="99">
        <v>620</v>
      </c>
      <c r="D280" s="1112" t="s">
        <v>438</v>
      </c>
      <c r="E280" s="1091">
        <v>2</v>
      </c>
      <c r="F280" s="1071">
        <v>2</v>
      </c>
      <c r="G280" s="1071">
        <v>2</v>
      </c>
      <c r="H280" s="1071">
        <v>2</v>
      </c>
      <c r="I280" s="1071">
        <v>1</v>
      </c>
      <c r="J280" s="1072">
        <v>2</v>
      </c>
      <c r="K280" s="1096">
        <v>2</v>
      </c>
      <c r="L280" s="1097">
        <v>0</v>
      </c>
      <c r="M280" s="1097">
        <v>2</v>
      </c>
      <c r="N280" s="1097">
        <v>2</v>
      </c>
      <c r="O280" s="1097">
        <v>2</v>
      </c>
      <c r="P280" s="1097">
        <v>2</v>
      </c>
      <c r="Q280" s="1097">
        <v>2</v>
      </c>
      <c r="R280" s="1097">
        <v>0</v>
      </c>
      <c r="S280" s="1097">
        <v>2</v>
      </c>
      <c r="T280" s="1097">
        <v>0</v>
      </c>
      <c r="U280" s="1097">
        <v>2</v>
      </c>
      <c r="V280" s="1097">
        <v>2</v>
      </c>
      <c r="W280" s="1097">
        <v>2</v>
      </c>
      <c r="X280" s="1097">
        <v>2</v>
      </c>
      <c r="Y280" s="1097">
        <v>2</v>
      </c>
      <c r="Z280" s="1097">
        <v>2</v>
      </c>
      <c r="AA280" s="1096">
        <v>2</v>
      </c>
      <c r="AB280" s="1096">
        <v>0</v>
      </c>
      <c r="AC280" s="1096">
        <v>2</v>
      </c>
      <c r="AD280" s="1096">
        <v>2</v>
      </c>
      <c r="AE280" s="1096">
        <v>2</v>
      </c>
      <c r="AF280" s="1096">
        <v>2</v>
      </c>
      <c r="AG280" s="1096">
        <v>2</v>
      </c>
      <c r="AH280" s="1096">
        <v>2</v>
      </c>
      <c r="AI280" s="1096">
        <v>0</v>
      </c>
      <c r="AJ280" s="1096">
        <v>2</v>
      </c>
      <c r="AK280" s="1096">
        <v>2</v>
      </c>
      <c r="AL280" s="1096">
        <v>2</v>
      </c>
      <c r="AM280" s="1096">
        <v>2</v>
      </c>
      <c r="AN280" s="1096">
        <v>2</v>
      </c>
      <c r="AO280" s="1096">
        <v>2</v>
      </c>
      <c r="AP280" s="1096">
        <v>2</v>
      </c>
      <c r="AQ280" s="1096">
        <v>2</v>
      </c>
      <c r="AR280" s="1096">
        <v>2</v>
      </c>
      <c r="AS280" s="1096">
        <v>2</v>
      </c>
      <c r="AT280" s="1096">
        <v>2</v>
      </c>
      <c r="AU280" s="1096">
        <v>2</v>
      </c>
    </row>
    <row r="281" spans="1:47" s="1077" customFormat="1" x14ac:dyDescent="0.25">
      <c r="A281" s="99">
        <v>621</v>
      </c>
      <c r="B281" s="1088"/>
      <c r="C281" s="99">
        <v>621</v>
      </c>
      <c r="D281" s="99" t="s">
        <v>448</v>
      </c>
      <c r="E281" s="1091"/>
      <c r="F281" s="1071"/>
      <c r="G281" s="1071"/>
      <c r="H281" s="1071"/>
      <c r="I281" s="1071"/>
      <c r="J281" s="1072"/>
      <c r="K281" s="1096"/>
      <c r="L281" s="1097"/>
      <c r="M281" s="1097"/>
      <c r="N281" s="1097"/>
      <c r="O281" s="1097"/>
      <c r="P281" s="1097"/>
      <c r="Q281" s="1097"/>
      <c r="R281" s="1097"/>
      <c r="S281" s="1097"/>
      <c r="T281" s="1097"/>
      <c r="U281" s="1097"/>
      <c r="V281" s="1097"/>
      <c r="W281" s="1097"/>
      <c r="X281" s="1097"/>
      <c r="Y281" s="1097"/>
      <c r="Z281" s="1097"/>
      <c r="AA281" s="1096"/>
      <c r="AB281" s="1096"/>
      <c r="AC281" s="1096"/>
      <c r="AD281" s="1096"/>
      <c r="AE281" s="1096"/>
      <c r="AF281" s="1096"/>
      <c r="AG281" s="1096"/>
      <c r="AH281" s="1096"/>
      <c r="AI281" s="1096"/>
      <c r="AJ281" s="1096"/>
      <c r="AK281" s="1096"/>
      <c r="AL281" s="1096"/>
      <c r="AM281" s="1096"/>
      <c r="AN281" s="1096"/>
      <c r="AO281" s="1096"/>
      <c r="AP281" s="1096"/>
      <c r="AQ281" s="1096"/>
      <c r="AR281" s="1096"/>
      <c r="AS281" s="1096"/>
      <c r="AT281" s="1096"/>
      <c r="AU281" s="1096"/>
    </row>
    <row r="282" spans="1:47" s="1077" customFormat="1" x14ac:dyDescent="0.25">
      <c r="A282" s="99">
        <v>622</v>
      </c>
      <c r="B282" s="1088">
        <v>622</v>
      </c>
      <c r="C282" s="99">
        <v>622</v>
      </c>
      <c r="D282" s="99" t="s">
        <v>453</v>
      </c>
      <c r="E282" s="1091">
        <v>0</v>
      </c>
      <c r="F282" s="1071">
        <v>783775</v>
      </c>
      <c r="G282" s="1071">
        <v>0</v>
      </c>
      <c r="H282" s="1071">
        <v>0</v>
      </c>
      <c r="I282" s="1071">
        <v>0</v>
      </c>
      <c r="J282" s="1072">
        <v>0</v>
      </c>
      <c r="K282" s="1096">
        <v>380964</v>
      </c>
      <c r="L282" s="1097">
        <v>0</v>
      </c>
      <c r="M282" s="1097">
        <v>417285</v>
      </c>
      <c r="N282" s="1097">
        <v>97221</v>
      </c>
      <c r="O282" s="1097">
        <v>150474</v>
      </c>
      <c r="P282" s="1097">
        <v>0</v>
      </c>
      <c r="Q282" s="1097">
        <v>847132</v>
      </c>
      <c r="R282" s="1097">
        <v>0</v>
      </c>
      <c r="S282" s="1097">
        <v>0</v>
      </c>
      <c r="T282" s="1097">
        <v>0</v>
      </c>
      <c r="U282" s="1097">
        <v>0</v>
      </c>
      <c r="V282" s="1097">
        <v>0</v>
      </c>
      <c r="W282" s="1097">
        <v>6733407</v>
      </c>
      <c r="X282" s="1097">
        <v>44787</v>
      </c>
      <c r="Y282" s="1097">
        <v>0</v>
      </c>
      <c r="Z282" s="1097">
        <v>0</v>
      </c>
      <c r="AA282" s="1096">
        <v>0</v>
      </c>
      <c r="AB282" s="1096">
        <v>0</v>
      </c>
      <c r="AC282" s="1096">
        <v>0</v>
      </c>
      <c r="AD282" s="1096">
        <v>0</v>
      </c>
      <c r="AE282" s="1096">
        <v>71277</v>
      </c>
      <c r="AF282" s="1096">
        <v>16860986</v>
      </c>
      <c r="AG282" s="1096">
        <v>1601685</v>
      </c>
      <c r="AH282" s="1096">
        <v>0</v>
      </c>
      <c r="AI282" s="1096">
        <v>0</v>
      </c>
      <c r="AJ282" s="1096">
        <v>0</v>
      </c>
      <c r="AK282" s="1096">
        <v>0</v>
      </c>
      <c r="AL282" s="1096">
        <v>0</v>
      </c>
      <c r="AM282" s="1096">
        <v>0</v>
      </c>
      <c r="AN282" s="1096">
        <v>0</v>
      </c>
      <c r="AO282" s="1096">
        <v>0</v>
      </c>
      <c r="AP282" s="1096">
        <v>0</v>
      </c>
      <c r="AQ282" s="1096">
        <v>0</v>
      </c>
      <c r="AR282" s="1096">
        <v>421109</v>
      </c>
      <c r="AS282" s="1096">
        <v>853686</v>
      </c>
      <c r="AT282" s="1096">
        <v>0</v>
      </c>
      <c r="AU282" s="1096">
        <v>0</v>
      </c>
    </row>
    <row r="283" spans="1:47" s="1077" customFormat="1" x14ac:dyDescent="0.25">
      <c r="A283" s="99">
        <v>624</v>
      </c>
      <c r="B283" s="1088"/>
      <c r="C283" s="99">
        <v>624</v>
      </c>
      <c r="D283" s="99" t="s">
        <v>452</v>
      </c>
      <c r="E283" s="1091"/>
      <c r="F283" s="1071"/>
      <c r="G283" s="1071"/>
      <c r="H283" s="1071"/>
      <c r="I283" s="1071"/>
      <c r="J283" s="1072"/>
      <c r="K283" s="1096"/>
      <c r="L283" s="1097"/>
      <c r="M283" s="1097"/>
      <c r="N283" s="1097"/>
      <c r="O283" s="1097"/>
      <c r="P283" s="1097"/>
      <c r="Q283" s="1097"/>
      <c r="R283" s="1097"/>
      <c r="S283" s="1097"/>
      <c r="T283" s="1097"/>
      <c r="U283" s="1097"/>
      <c r="V283" s="1097"/>
      <c r="W283" s="1097"/>
      <c r="X283" s="1097"/>
      <c r="Y283" s="1097"/>
      <c r="Z283" s="1097"/>
      <c r="AA283" s="1096"/>
      <c r="AB283" s="1096"/>
      <c r="AC283" s="1096"/>
      <c r="AD283" s="1096"/>
      <c r="AE283" s="1096"/>
      <c r="AF283" s="1096"/>
      <c r="AG283" s="1096"/>
      <c r="AH283" s="1096"/>
      <c r="AI283" s="1096"/>
      <c r="AJ283" s="1096"/>
      <c r="AK283" s="1096"/>
      <c r="AL283" s="1096"/>
      <c r="AM283" s="1096"/>
      <c r="AN283" s="1096"/>
      <c r="AO283" s="1096"/>
      <c r="AP283" s="1096"/>
      <c r="AQ283" s="1096"/>
      <c r="AR283" s="1096"/>
      <c r="AS283" s="1096"/>
      <c r="AT283" s="1096"/>
      <c r="AU283" s="1096"/>
    </row>
    <row r="284" spans="1:47" s="1077" customFormat="1" ht="105" x14ac:dyDescent="0.25">
      <c r="A284" s="99">
        <v>625</v>
      </c>
      <c r="B284" s="1088"/>
      <c r="C284" s="99">
        <v>625</v>
      </c>
      <c r="D284" s="1066" t="s">
        <v>545</v>
      </c>
      <c r="E284" s="1091">
        <v>0</v>
      </c>
      <c r="F284" s="1071">
        <v>0</v>
      </c>
      <c r="G284" s="1071">
        <v>0</v>
      </c>
      <c r="H284" s="1071">
        <v>0</v>
      </c>
      <c r="I284" s="1071">
        <v>0</v>
      </c>
      <c r="J284" s="1072">
        <v>0</v>
      </c>
      <c r="K284" s="1096">
        <v>0</v>
      </c>
      <c r="L284" s="1097">
        <v>0</v>
      </c>
      <c r="M284" s="1097">
        <v>0</v>
      </c>
      <c r="N284" s="1097">
        <v>0</v>
      </c>
      <c r="O284" s="1097">
        <v>0</v>
      </c>
      <c r="P284" s="1097">
        <v>0</v>
      </c>
      <c r="Q284" s="1097">
        <v>0</v>
      </c>
      <c r="R284" s="1097">
        <v>0</v>
      </c>
      <c r="S284" s="1097">
        <v>0</v>
      </c>
      <c r="T284" s="1097">
        <v>0</v>
      </c>
      <c r="U284" s="1097">
        <v>0</v>
      </c>
      <c r="V284" s="1097">
        <v>0</v>
      </c>
      <c r="W284" s="1097">
        <v>0</v>
      </c>
      <c r="X284" s="1097">
        <v>0</v>
      </c>
      <c r="Y284" s="1097">
        <v>0</v>
      </c>
      <c r="Z284" s="1097">
        <v>0</v>
      </c>
      <c r="AA284" s="1096">
        <v>0</v>
      </c>
      <c r="AB284" s="1096">
        <v>0</v>
      </c>
      <c r="AC284" s="1096">
        <v>0</v>
      </c>
      <c r="AD284" s="1096">
        <v>0</v>
      </c>
      <c r="AE284" s="1096">
        <v>0</v>
      </c>
      <c r="AF284" s="1096">
        <v>0</v>
      </c>
      <c r="AG284" s="1096">
        <v>0</v>
      </c>
      <c r="AH284" s="1096">
        <v>0</v>
      </c>
      <c r="AI284" s="1096">
        <v>0</v>
      </c>
      <c r="AJ284" s="1096">
        <v>0</v>
      </c>
      <c r="AK284" s="1096">
        <v>0</v>
      </c>
      <c r="AL284" s="1096">
        <v>0</v>
      </c>
      <c r="AM284" s="1096">
        <v>0</v>
      </c>
      <c r="AN284" s="1096">
        <v>0</v>
      </c>
      <c r="AO284" s="1096">
        <v>0</v>
      </c>
      <c r="AP284" s="1096">
        <v>0</v>
      </c>
      <c r="AQ284" s="1096">
        <v>0</v>
      </c>
      <c r="AR284" s="1096">
        <v>0</v>
      </c>
      <c r="AS284" s="1096">
        <v>0</v>
      </c>
      <c r="AT284" s="1096">
        <v>0</v>
      </c>
      <c r="AU284" s="1096">
        <v>0</v>
      </c>
    </row>
    <row r="285" spans="1:47" s="1077" customFormat="1" ht="30" x14ac:dyDescent="0.25">
      <c r="A285" s="99">
        <v>626</v>
      </c>
      <c r="B285" s="1116">
        <v>626</v>
      </c>
      <c r="C285" s="1116">
        <v>626</v>
      </c>
      <c r="D285" s="1117" t="s">
        <v>472</v>
      </c>
      <c r="E285" s="1091">
        <v>0</v>
      </c>
      <c r="F285" s="1071">
        <v>0</v>
      </c>
      <c r="G285" s="1071">
        <v>1202652</v>
      </c>
      <c r="H285" s="1071">
        <v>0</v>
      </c>
      <c r="I285" s="1071">
        <v>0</v>
      </c>
      <c r="J285" s="1072">
        <v>8068</v>
      </c>
      <c r="K285" s="1096">
        <v>60065</v>
      </c>
      <c r="L285" s="1097">
        <v>0</v>
      </c>
      <c r="M285" s="1097">
        <v>0</v>
      </c>
      <c r="N285" s="1097">
        <v>0</v>
      </c>
      <c r="O285" s="1097">
        <v>0</v>
      </c>
      <c r="P285" s="1097">
        <v>0</v>
      </c>
      <c r="Q285" s="1097">
        <v>0</v>
      </c>
      <c r="R285" s="1097">
        <v>0</v>
      </c>
      <c r="S285" s="1097">
        <v>37</v>
      </c>
      <c r="T285" s="1097">
        <v>0</v>
      </c>
      <c r="U285" s="1097">
        <v>2970</v>
      </c>
      <c r="V285" s="1097">
        <v>149372</v>
      </c>
      <c r="W285" s="1097">
        <v>0</v>
      </c>
      <c r="X285" s="1097">
        <v>553</v>
      </c>
      <c r="Y285" s="1097">
        <v>0</v>
      </c>
      <c r="Z285" s="1097">
        <v>136411</v>
      </c>
      <c r="AA285" s="1096">
        <v>0</v>
      </c>
      <c r="AB285" s="1096">
        <v>0</v>
      </c>
      <c r="AC285" s="1096">
        <v>0</v>
      </c>
      <c r="AD285" s="1096">
        <v>0</v>
      </c>
      <c r="AE285" s="1096">
        <v>4069</v>
      </c>
      <c r="AF285" s="1096">
        <v>8502315</v>
      </c>
      <c r="AG285" s="1096">
        <v>0</v>
      </c>
      <c r="AH285" s="1096">
        <v>0</v>
      </c>
      <c r="AI285" s="1096">
        <v>0</v>
      </c>
      <c r="AJ285" s="1096">
        <v>775032</v>
      </c>
      <c r="AK285" s="1096">
        <v>52754</v>
      </c>
      <c r="AL285" s="1096">
        <v>6970378</v>
      </c>
      <c r="AM285" s="1096">
        <v>0</v>
      </c>
      <c r="AN285" s="1096">
        <v>1468</v>
      </c>
      <c r="AO285" s="1096">
        <v>866</v>
      </c>
      <c r="AP285" s="1096">
        <v>368</v>
      </c>
      <c r="AQ285" s="1096">
        <v>12511</v>
      </c>
      <c r="AR285" s="1096">
        <v>133710</v>
      </c>
      <c r="AS285" s="1096">
        <v>0</v>
      </c>
      <c r="AT285" s="1096">
        <v>0</v>
      </c>
      <c r="AU285" s="1096">
        <v>0</v>
      </c>
    </row>
    <row r="286" spans="1:47" s="1077" customFormat="1" ht="30" x14ac:dyDescent="0.25">
      <c r="A286" s="99">
        <v>627</v>
      </c>
      <c r="B286" s="1116">
        <v>627</v>
      </c>
      <c r="C286" s="1116">
        <v>627</v>
      </c>
      <c r="D286" s="1117" t="s">
        <v>464</v>
      </c>
      <c r="E286" s="1091">
        <v>0</v>
      </c>
      <c r="F286" s="1071">
        <v>0</v>
      </c>
      <c r="G286" s="1071">
        <v>0</v>
      </c>
      <c r="H286" s="1071">
        <v>0</v>
      </c>
      <c r="I286" s="1071">
        <v>0</v>
      </c>
      <c r="J286" s="1072">
        <v>0</v>
      </c>
      <c r="K286" s="1096">
        <v>0</v>
      </c>
      <c r="L286" s="1097">
        <v>0</v>
      </c>
      <c r="M286" s="1097">
        <v>0</v>
      </c>
      <c r="N286" s="1097">
        <v>0</v>
      </c>
      <c r="O286" s="1097">
        <v>0</v>
      </c>
      <c r="P286" s="1097">
        <v>0</v>
      </c>
      <c r="Q286" s="1097">
        <v>0</v>
      </c>
      <c r="R286" s="1097">
        <v>0</v>
      </c>
      <c r="S286" s="1097">
        <v>0</v>
      </c>
      <c r="T286" s="1097">
        <v>0</v>
      </c>
      <c r="U286" s="1097">
        <v>0</v>
      </c>
      <c r="V286" s="1097">
        <v>0</v>
      </c>
      <c r="W286" s="1097">
        <v>0</v>
      </c>
      <c r="X286" s="1097">
        <v>0</v>
      </c>
      <c r="Y286" s="1097">
        <v>0</v>
      </c>
      <c r="Z286" s="1097">
        <v>0</v>
      </c>
      <c r="AA286" s="1096">
        <v>0</v>
      </c>
      <c r="AB286" s="1096">
        <v>0</v>
      </c>
      <c r="AC286" s="1096">
        <v>0</v>
      </c>
      <c r="AD286" s="1096">
        <v>0</v>
      </c>
      <c r="AE286" s="1096">
        <v>0</v>
      </c>
      <c r="AF286" s="1096">
        <v>0</v>
      </c>
      <c r="AG286" s="1096">
        <v>0</v>
      </c>
      <c r="AH286" s="1096">
        <v>0</v>
      </c>
      <c r="AI286" s="1096">
        <v>0</v>
      </c>
      <c r="AJ286" s="1096">
        <v>0</v>
      </c>
      <c r="AK286" s="1096">
        <v>0</v>
      </c>
      <c r="AL286" s="1096">
        <v>0</v>
      </c>
      <c r="AM286" s="1096">
        <v>0</v>
      </c>
      <c r="AN286" s="1096">
        <v>0</v>
      </c>
      <c r="AO286" s="1096">
        <v>0</v>
      </c>
      <c r="AP286" s="1096">
        <v>0</v>
      </c>
      <c r="AQ286" s="1096">
        <v>0</v>
      </c>
      <c r="AR286" s="1096">
        <v>0</v>
      </c>
      <c r="AS286" s="1096">
        <v>0</v>
      </c>
      <c r="AT286" s="1096">
        <v>0</v>
      </c>
      <c r="AU286" s="1096">
        <v>0</v>
      </c>
    </row>
    <row r="287" spans="1:47" s="1077" customFormat="1" ht="30" x14ac:dyDescent="0.25">
      <c r="A287" s="99">
        <v>628</v>
      </c>
      <c r="B287" s="1116">
        <v>628</v>
      </c>
      <c r="C287" s="1116">
        <v>628</v>
      </c>
      <c r="D287" s="1117" t="s">
        <v>469</v>
      </c>
      <c r="E287" s="1091">
        <v>0</v>
      </c>
      <c r="F287" s="1071">
        <v>0</v>
      </c>
      <c r="G287" s="1071">
        <v>0</v>
      </c>
      <c r="H287" s="1071">
        <v>0</v>
      </c>
      <c r="I287" s="1071">
        <v>0</v>
      </c>
      <c r="J287" s="1072">
        <v>0</v>
      </c>
      <c r="K287" s="1096">
        <v>2000</v>
      </c>
      <c r="L287" s="1097">
        <v>0</v>
      </c>
      <c r="M287" s="1097">
        <v>0</v>
      </c>
      <c r="N287" s="1097">
        <v>0</v>
      </c>
      <c r="O287" s="1097">
        <v>0</v>
      </c>
      <c r="P287" s="1097">
        <v>0</v>
      </c>
      <c r="Q287" s="1097">
        <v>0</v>
      </c>
      <c r="R287" s="1097">
        <v>0</v>
      </c>
      <c r="S287" s="1097">
        <v>0</v>
      </c>
      <c r="T287" s="1097">
        <v>0</v>
      </c>
      <c r="U287" s="1097">
        <v>0</v>
      </c>
      <c r="V287" s="1097">
        <v>0</v>
      </c>
      <c r="W287" s="1097">
        <v>0</v>
      </c>
      <c r="X287" s="1097">
        <v>0</v>
      </c>
      <c r="Y287" s="1097">
        <v>0</v>
      </c>
      <c r="Z287" s="1097">
        <v>0</v>
      </c>
      <c r="AA287" s="1096">
        <v>0</v>
      </c>
      <c r="AB287" s="1096">
        <v>0</v>
      </c>
      <c r="AC287" s="1096">
        <v>0</v>
      </c>
      <c r="AD287" s="1096">
        <v>0</v>
      </c>
      <c r="AE287" s="1096">
        <v>0</v>
      </c>
      <c r="AF287" s="1096">
        <v>2301936</v>
      </c>
      <c r="AG287" s="1096">
        <v>0</v>
      </c>
      <c r="AH287" s="1096">
        <v>0</v>
      </c>
      <c r="AI287" s="1096">
        <v>0</v>
      </c>
      <c r="AJ287" s="1096">
        <v>61037</v>
      </c>
      <c r="AK287" s="1096">
        <v>0</v>
      </c>
      <c r="AL287" s="1096">
        <v>227597</v>
      </c>
      <c r="AM287" s="1096">
        <v>0</v>
      </c>
      <c r="AN287" s="1096">
        <v>0</v>
      </c>
      <c r="AO287" s="1096">
        <v>0</v>
      </c>
      <c r="AP287" s="1096">
        <v>0</v>
      </c>
      <c r="AQ287" s="1096">
        <v>0</v>
      </c>
      <c r="AR287" s="1096">
        <v>0</v>
      </c>
      <c r="AS287" s="1096">
        <v>0</v>
      </c>
      <c r="AT287" s="1096">
        <v>0</v>
      </c>
      <c r="AU287" s="1096">
        <v>0</v>
      </c>
    </row>
    <row r="288" spans="1:47" s="1077" customFormat="1" ht="30" x14ac:dyDescent="0.25">
      <c r="A288" s="99">
        <v>629</v>
      </c>
      <c r="B288" s="1116">
        <v>629</v>
      </c>
      <c r="C288" s="1116">
        <v>629</v>
      </c>
      <c r="D288" s="1117" t="s">
        <v>468</v>
      </c>
      <c r="E288" s="1091">
        <v>0</v>
      </c>
      <c r="F288" s="1071">
        <v>0</v>
      </c>
      <c r="G288" s="1071">
        <v>0</v>
      </c>
      <c r="H288" s="1071">
        <v>0</v>
      </c>
      <c r="I288" s="1071">
        <v>0</v>
      </c>
      <c r="J288" s="1072">
        <v>0</v>
      </c>
      <c r="K288" s="1096">
        <v>0</v>
      </c>
      <c r="L288" s="1097">
        <v>0</v>
      </c>
      <c r="M288" s="1097">
        <v>0</v>
      </c>
      <c r="N288" s="1097">
        <v>0</v>
      </c>
      <c r="O288" s="1097">
        <v>0</v>
      </c>
      <c r="P288" s="1097">
        <v>0</v>
      </c>
      <c r="Q288" s="1097">
        <v>0</v>
      </c>
      <c r="R288" s="1097">
        <v>0</v>
      </c>
      <c r="S288" s="1097">
        <v>0</v>
      </c>
      <c r="T288" s="1097">
        <v>0</v>
      </c>
      <c r="U288" s="1097">
        <v>0</v>
      </c>
      <c r="V288" s="1097">
        <v>0</v>
      </c>
      <c r="W288" s="1097">
        <v>0</v>
      </c>
      <c r="X288" s="1097">
        <v>0</v>
      </c>
      <c r="Y288" s="1097">
        <v>0</v>
      </c>
      <c r="Z288" s="1097">
        <v>0</v>
      </c>
      <c r="AA288" s="1096">
        <v>0</v>
      </c>
      <c r="AB288" s="1096">
        <v>0</v>
      </c>
      <c r="AC288" s="1096">
        <v>0</v>
      </c>
      <c r="AD288" s="1096">
        <v>0</v>
      </c>
      <c r="AE288" s="1096">
        <v>0</v>
      </c>
      <c r="AF288" s="1096">
        <v>0</v>
      </c>
      <c r="AG288" s="1096">
        <v>0</v>
      </c>
      <c r="AH288" s="1096">
        <v>0</v>
      </c>
      <c r="AI288" s="1096">
        <v>0</v>
      </c>
      <c r="AJ288" s="1096">
        <v>0</v>
      </c>
      <c r="AK288" s="1096">
        <v>0</v>
      </c>
      <c r="AL288" s="1096">
        <v>0</v>
      </c>
      <c r="AM288" s="1096">
        <v>0</v>
      </c>
      <c r="AN288" s="1096">
        <v>0</v>
      </c>
      <c r="AO288" s="1096">
        <v>0</v>
      </c>
      <c r="AP288" s="1096">
        <v>0</v>
      </c>
      <c r="AQ288" s="1096">
        <v>0</v>
      </c>
      <c r="AR288" s="1096">
        <v>0</v>
      </c>
      <c r="AS288" s="1096">
        <v>0</v>
      </c>
      <c r="AT288" s="1096">
        <v>0</v>
      </c>
      <c r="AU288" s="1096">
        <v>0</v>
      </c>
    </row>
    <row r="289" spans="1:47" s="1077" customFormat="1" ht="45" x14ac:dyDescent="0.25">
      <c r="A289" s="99">
        <v>630</v>
      </c>
      <c r="B289" s="1116">
        <v>630</v>
      </c>
      <c r="C289" s="1116">
        <v>630</v>
      </c>
      <c r="D289" s="1117" t="s">
        <v>467</v>
      </c>
      <c r="E289" s="1091">
        <v>0</v>
      </c>
      <c r="F289" s="1071">
        <v>0</v>
      </c>
      <c r="G289" s="1071">
        <v>0</v>
      </c>
      <c r="H289" s="1071">
        <v>0</v>
      </c>
      <c r="I289" s="1071">
        <v>0</v>
      </c>
      <c r="J289" s="1072">
        <v>4200</v>
      </c>
      <c r="K289" s="1096">
        <v>0</v>
      </c>
      <c r="L289" s="1097">
        <v>0</v>
      </c>
      <c r="M289" s="1097">
        <v>0</v>
      </c>
      <c r="N289" s="1097">
        <v>0</v>
      </c>
      <c r="O289" s="1097">
        <v>0</v>
      </c>
      <c r="P289" s="1097">
        <v>0</v>
      </c>
      <c r="Q289" s="1097">
        <v>0</v>
      </c>
      <c r="R289" s="1097">
        <v>0</v>
      </c>
      <c r="S289" s="1097">
        <v>0</v>
      </c>
      <c r="T289" s="1097">
        <v>0</v>
      </c>
      <c r="U289" s="1097">
        <v>0</v>
      </c>
      <c r="V289" s="1097">
        <v>0</v>
      </c>
      <c r="W289" s="1097">
        <v>0</v>
      </c>
      <c r="X289" s="1097">
        <v>0</v>
      </c>
      <c r="Y289" s="1097">
        <v>0</v>
      </c>
      <c r="Z289" s="1097">
        <v>0</v>
      </c>
      <c r="AA289" s="1096">
        <v>0</v>
      </c>
      <c r="AB289" s="1096">
        <v>0</v>
      </c>
      <c r="AC289" s="1096">
        <v>0</v>
      </c>
      <c r="AD289" s="1096">
        <v>0</v>
      </c>
      <c r="AE289" s="1096">
        <v>0</v>
      </c>
      <c r="AF289" s="1096">
        <v>0</v>
      </c>
      <c r="AG289" s="1096">
        <v>0</v>
      </c>
      <c r="AH289" s="1096">
        <v>0</v>
      </c>
      <c r="AI289" s="1096">
        <v>0</v>
      </c>
      <c r="AJ289" s="1096">
        <v>0</v>
      </c>
      <c r="AK289" s="1096">
        <v>0</v>
      </c>
      <c r="AL289" s="1096">
        <v>0</v>
      </c>
      <c r="AM289" s="1096">
        <v>0</v>
      </c>
      <c r="AN289" s="1096">
        <v>1468</v>
      </c>
      <c r="AO289" s="1096">
        <v>0</v>
      </c>
      <c r="AP289" s="1096">
        <v>0</v>
      </c>
      <c r="AQ289" s="1096">
        <v>0</v>
      </c>
      <c r="AR289" s="1096">
        <v>0</v>
      </c>
      <c r="AS289" s="1096">
        <v>0</v>
      </c>
      <c r="AT289" s="1096">
        <v>0</v>
      </c>
      <c r="AU289" s="1096">
        <v>0</v>
      </c>
    </row>
    <row r="290" spans="1:47" s="1077" customFormat="1" x14ac:dyDescent="0.25">
      <c r="A290" s="99">
        <v>631</v>
      </c>
      <c r="B290" s="1116">
        <v>631</v>
      </c>
      <c r="C290" s="1116">
        <v>631</v>
      </c>
      <c r="D290" s="1117" t="s">
        <v>466</v>
      </c>
      <c r="E290" s="1091">
        <v>0</v>
      </c>
      <c r="F290" s="1071">
        <v>0</v>
      </c>
      <c r="G290" s="1071">
        <v>0</v>
      </c>
      <c r="H290" s="1071">
        <v>0</v>
      </c>
      <c r="I290" s="1071">
        <v>0</v>
      </c>
      <c r="J290" s="1072">
        <v>0</v>
      </c>
      <c r="K290" s="1096">
        <v>0</v>
      </c>
      <c r="L290" s="1097">
        <v>0</v>
      </c>
      <c r="M290" s="1097">
        <v>0</v>
      </c>
      <c r="N290" s="1097">
        <v>0</v>
      </c>
      <c r="O290" s="1097">
        <v>0</v>
      </c>
      <c r="P290" s="1097">
        <v>0</v>
      </c>
      <c r="Q290" s="1097">
        <v>0</v>
      </c>
      <c r="R290" s="1097">
        <v>0</v>
      </c>
      <c r="S290" s="1097">
        <v>0</v>
      </c>
      <c r="T290" s="1097">
        <v>0</v>
      </c>
      <c r="U290" s="1097">
        <v>0</v>
      </c>
      <c r="V290" s="1097">
        <v>0</v>
      </c>
      <c r="W290" s="1097">
        <v>0</v>
      </c>
      <c r="X290" s="1097">
        <v>0</v>
      </c>
      <c r="Y290" s="1097">
        <v>0</v>
      </c>
      <c r="Z290" s="1097">
        <v>0</v>
      </c>
      <c r="AA290" s="1096">
        <v>0</v>
      </c>
      <c r="AB290" s="1096">
        <v>0</v>
      </c>
      <c r="AC290" s="1096">
        <v>0</v>
      </c>
      <c r="AD290" s="1096">
        <v>0</v>
      </c>
      <c r="AE290" s="1096">
        <v>0</v>
      </c>
      <c r="AF290" s="1096">
        <v>0</v>
      </c>
      <c r="AG290" s="1096">
        <v>0</v>
      </c>
      <c r="AH290" s="1096">
        <v>0</v>
      </c>
      <c r="AI290" s="1096">
        <v>0</v>
      </c>
      <c r="AJ290" s="1096">
        <v>0</v>
      </c>
      <c r="AK290" s="1096">
        <v>0</v>
      </c>
      <c r="AL290" s="1096">
        <v>0</v>
      </c>
      <c r="AM290" s="1096">
        <v>0</v>
      </c>
      <c r="AN290" s="1096">
        <v>0</v>
      </c>
      <c r="AO290" s="1096">
        <v>0</v>
      </c>
      <c r="AP290" s="1096">
        <v>0</v>
      </c>
      <c r="AQ290" s="1096">
        <v>0</v>
      </c>
      <c r="AR290" s="1096">
        <v>0</v>
      </c>
      <c r="AS290" s="1096">
        <v>0</v>
      </c>
      <c r="AT290" s="1096">
        <v>0</v>
      </c>
      <c r="AU290" s="1096">
        <v>0</v>
      </c>
    </row>
    <row r="291" spans="1:47" s="1077" customFormat="1" ht="30" x14ac:dyDescent="0.25">
      <c r="A291" s="99">
        <v>632</v>
      </c>
      <c r="B291" s="1116"/>
      <c r="C291" s="1116">
        <v>632</v>
      </c>
      <c r="D291" s="1117" t="s">
        <v>465</v>
      </c>
      <c r="E291" s="1091">
        <v>0</v>
      </c>
      <c r="F291" s="1071">
        <v>0</v>
      </c>
      <c r="G291" s="1071">
        <v>0</v>
      </c>
      <c r="H291" s="1071">
        <v>0</v>
      </c>
      <c r="I291" s="1071">
        <v>0</v>
      </c>
      <c r="J291" s="1072">
        <v>0</v>
      </c>
      <c r="K291" s="1096">
        <v>0</v>
      </c>
      <c r="L291" s="1097">
        <v>0</v>
      </c>
      <c r="M291" s="1097">
        <v>0</v>
      </c>
      <c r="N291" s="1097">
        <v>0</v>
      </c>
      <c r="O291" s="1097">
        <v>0</v>
      </c>
      <c r="P291" s="1097">
        <v>0</v>
      </c>
      <c r="Q291" s="1097">
        <v>0</v>
      </c>
      <c r="R291" s="1097">
        <v>0</v>
      </c>
      <c r="S291" s="1097">
        <v>0</v>
      </c>
      <c r="T291" s="1097">
        <v>0</v>
      </c>
      <c r="U291" s="1097">
        <v>0</v>
      </c>
      <c r="V291" s="1097">
        <v>0</v>
      </c>
      <c r="W291" s="1097">
        <v>0</v>
      </c>
      <c r="X291" s="1097">
        <v>0</v>
      </c>
      <c r="Y291" s="1097">
        <v>0</v>
      </c>
      <c r="Z291" s="1097">
        <v>0</v>
      </c>
      <c r="AA291" s="1096">
        <v>0</v>
      </c>
      <c r="AB291" s="1096">
        <v>0</v>
      </c>
      <c r="AC291" s="1096">
        <v>0</v>
      </c>
      <c r="AD291" s="1096">
        <v>0</v>
      </c>
      <c r="AE291" s="1096">
        <v>0</v>
      </c>
      <c r="AF291" s="1096">
        <v>0</v>
      </c>
      <c r="AG291" s="1096">
        <v>0</v>
      </c>
      <c r="AH291" s="1096">
        <v>0</v>
      </c>
      <c r="AI291" s="1096">
        <v>0</v>
      </c>
      <c r="AJ291" s="1096">
        <v>0</v>
      </c>
      <c r="AK291" s="1096">
        <v>0</v>
      </c>
      <c r="AL291" s="1096">
        <v>0</v>
      </c>
      <c r="AM291" s="1096">
        <v>0</v>
      </c>
      <c r="AN291" s="1096">
        <v>0</v>
      </c>
      <c r="AO291" s="1096">
        <v>0</v>
      </c>
      <c r="AP291" s="1096">
        <v>0</v>
      </c>
      <c r="AQ291" s="1096">
        <v>0</v>
      </c>
      <c r="AR291" s="1096">
        <v>0</v>
      </c>
      <c r="AS291" s="1096">
        <v>0</v>
      </c>
      <c r="AT291" s="1096">
        <v>0</v>
      </c>
      <c r="AU291" s="1096">
        <v>0</v>
      </c>
    </row>
    <row r="292" spans="1:47" s="1077" customFormat="1" ht="45" x14ac:dyDescent="0.25">
      <c r="A292" s="99">
        <v>633</v>
      </c>
      <c r="B292" s="1116"/>
      <c r="C292" s="1116">
        <v>633</v>
      </c>
      <c r="D292" s="1117" t="s">
        <v>473</v>
      </c>
      <c r="E292" s="1091">
        <v>0</v>
      </c>
      <c r="F292" s="1071">
        <v>0</v>
      </c>
      <c r="G292" s="1071">
        <v>0</v>
      </c>
      <c r="H292" s="1071">
        <v>0</v>
      </c>
      <c r="I292" s="1071">
        <v>0</v>
      </c>
      <c r="J292" s="1072">
        <v>0</v>
      </c>
      <c r="K292" s="1096">
        <v>0</v>
      </c>
      <c r="L292" s="1097">
        <v>0</v>
      </c>
      <c r="M292" s="1097">
        <v>0</v>
      </c>
      <c r="N292" s="1097">
        <v>0</v>
      </c>
      <c r="O292" s="1097">
        <v>0</v>
      </c>
      <c r="P292" s="1097">
        <v>0</v>
      </c>
      <c r="Q292" s="1097">
        <v>0</v>
      </c>
      <c r="R292" s="1097">
        <v>0</v>
      </c>
      <c r="S292" s="1097">
        <v>0</v>
      </c>
      <c r="T292" s="1097">
        <v>0</v>
      </c>
      <c r="U292" s="1097">
        <v>0</v>
      </c>
      <c r="V292" s="1097">
        <v>0</v>
      </c>
      <c r="W292" s="1097">
        <v>0</v>
      </c>
      <c r="X292" s="1097">
        <v>0</v>
      </c>
      <c r="Y292" s="1097">
        <v>0</v>
      </c>
      <c r="Z292" s="1097">
        <v>0</v>
      </c>
      <c r="AA292" s="1096">
        <v>0</v>
      </c>
      <c r="AB292" s="1096">
        <v>0</v>
      </c>
      <c r="AC292" s="1096">
        <v>0</v>
      </c>
      <c r="AD292" s="1096">
        <v>0</v>
      </c>
      <c r="AE292" s="1096">
        <v>0</v>
      </c>
      <c r="AF292" s="1096">
        <v>0</v>
      </c>
      <c r="AG292" s="1096">
        <v>0</v>
      </c>
      <c r="AH292" s="1096">
        <v>0</v>
      </c>
      <c r="AI292" s="1096">
        <v>0</v>
      </c>
      <c r="AJ292" s="1096">
        <v>0</v>
      </c>
      <c r="AK292" s="1096">
        <v>0</v>
      </c>
      <c r="AL292" s="1096">
        <v>0</v>
      </c>
      <c r="AM292" s="1096">
        <v>0</v>
      </c>
      <c r="AN292" s="1096">
        <v>0</v>
      </c>
      <c r="AO292" s="1096">
        <v>0</v>
      </c>
      <c r="AP292" s="1096">
        <v>0</v>
      </c>
      <c r="AQ292" s="1096">
        <v>0</v>
      </c>
      <c r="AR292" s="1096">
        <v>0</v>
      </c>
      <c r="AS292" s="1096">
        <v>0</v>
      </c>
      <c r="AT292" s="1096">
        <v>0</v>
      </c>
      <c r="AU292" s="1096">
        <v>0</v>
      </c>
    </row>
    <row r="293" spans="1:47" s="1077" customFormat="1" ht="30" x14ac:dyDescent="0.25">
      <c r="A293" s="99">
        <v>634</v>
      </c>
      <c r="B293" s="1116"/>
      <c r="C293" s="1116">
        <v>634</v>
      </c>
      <c r="D293" s="1117" t="s">
        <v>474</v>
      </c>
      <c r="E293" s="1091">
        <v>0</v>
      </c>
      <c r="F293" s="1071">
        <v>0</v>
      </c>
      <c r="G293" s="1071">
        <v>0</v>
      </c>
      <c r="H293" s="1071">
        <v>0</v>
      </c>
      <c r="I293" s="1071">
        <v>0</v>
      </c>
      <c r="J293" s="1072">
        <v>0</v>
      </c>
      <c r="K293" s="1096">
        <v>0</v>
      </c>
      <c r="L293" s="1097">
        <v>0</v>
      </c>
      <c r="M293" s="1097">
        <v>0</v>
      </c>
      <c r="N293" s="1097">
        <v>0</v>
      </c>
      <c r="O293" s="1097">
        <v>0</v>
      </c>
      <c r="P293" s="1097">
        <v>0</v>
      </c>
      <c r="Q293" s="1097">
        <v>0</v>
      </c>
      <c r="R293" s="1097">
        <v>0</v>
      </c>
      <c r="S293" s="1097">
        <v>0</v>
      </c>
      <c r="T293" s="1097">
        <v>0</v>
      </c>
      <c r="U293" s="1097">
        <v>0</v>
      </c>
      <c r="V293" s="1097">
        <v>0</v>
      </c>
      <c r="W293" s="1097">
        <v>0</v>
      </c>
      <c r="X293" s="1097">
        <v>0</v>
      </c>
      <c r="Y293" s="1097">
        <v>0</v>
      </c>
      <c r="Z293" s="1097">
        <v>0</v>
      </c>
      <c r="AA293" s="1096">
        <v>0</v>
      </c>
      <c r="AB293" s="1096">
        <v>0</v>
      </c>
      <c r="AC293" s="1096">
        <v>0</v>
      </c>
      <c r="AD293" s="1096">
        <v>0</v>
      </c>
      <c r="AE293" s="1096">
        <v>0</v>
      </c>
      <c r="AF293" s="1096">
        <v>0</v>
      </c>
      <c r="AG293" s="1096">
        <v>0</v>
      </c>
      <c r="AH293" s="1096">
        <v>0</v>
      </c>
      <c r="AI293" s="1096">
        <v>0</v>
      </c>
      <c r="AJ293" s="1096">
        <v>0</v>
      </c>
      <c r="AK293" s="1096">
        <v>0</v>
      </c>
      <c r="AL293" s="1096">
        <v>0</v>
      </c>
      <c r="AM293" s="1096">
        <v>0</v>
      </c>
      <c r="AN293" s="1096">
        <v>0</v>
      </c>
      <c r="AO293" s="1096">
        <v>0</v>
      </c>
      <c r="AP293" s="1096">
        <v>0</v>
      </c>
      <c r="AQ293" s="1096">
        <v>0</v>
      </c>
      <c r="AR293" s="1096">
        <v>0</v>
      </c>
      <c r="AS293" s="1096">
        <v>0</v>
      </c>
      <c r="AT293" s="1096">
        <v>0</v>
      </c>
      <c r="AU293" s="1096">
        <v>0</v>
      </c>
    </row>
    <row r="294" spans="1:47" s="1077" customFormat="1" ht="30" x14ac:dyDescent="0.25">
      <c r="A294" s="99">
        <v>635</v>
      </c>
      <c r="B294" s="1116"/>
      <c r="C294" s="1116">
        <v>635</v>
      </c>
      <c r="D294" s="1117" t="s">
        <v>475</v>
      </c>
      <c r="E294" s="1091">
        <v>0</v>
      </c>
      <c r="F294" s="1071">
        <v>0</v>
      </c>
      <c r="G294" s="1071">
        <v>0</v>
      </c>
      <c r="H294" s="1071">
        <v>0</v>
      </c>
      <c r="I294" s="1071">
        <v>0</v>
      </c>
      <c r="J294" s="1072">
        <v>0</v>
      </c>
      <c r="K294" s="1096">
        <v>0</v>
      </c>
      <c r="L294" s="1097">
        <v>0</v>
      </c>
      <c r="M294" s="1097">
        <v>0</v>
      </c>
      <c r="N294" s="1097">
        <v>0</v>
      </c>
      <c r="O294" s="1097">
        <v>0</v>
      </c>
      <c r="P294" s="1097">
        <v>0</v>
      </c>
      <c r="Q294" s="1097">
        <v>0</v>
      </c>
      <c r="R294" s="1097">
        <v>0</v>
      </c>
      <c r="S294" s="1097">
        <v>0</v>
      </c>
      <c r="T294" s="1097">
        <v>0</v>
      </c>
      <c r="U294" s="1097">
        <v>0</v>
      </c>
      <c r="V294" s="1097">
        <v>0</v>
      </c>
      <c r="W294" s="1097">
        <v>0</v>
      </c>
      <c r="X294" s="1097">
        <v>0</v>
      </c>
      <c r="Y294" s="1097">
        <v>0</v>
      </c>
      <c r="Z294" s="1097">
        <v>0</v>
      </c>
      <c r="AA294" s="1096">
        <v>0</v>
      </c>
      <c r="AB294" s="1096">
        <v>0</v>
      </c>
      <c r="AC294" s="1096">
        <v>0</v>
      </c>
      <c r="AD294" s="1096">
        <v>0</v>
      </c>
      <c r="AE294" s="1096">
        <v>0</v>
      </c>
      <c r="AF294" s="1096">
        <v>0</v>
      </c>
      <c r="AG294" s="1096">
        <v>0</v>
      </c>
      <c r="AH294" s="1096">
        <v>0</v>
      </c>
      <c r="AI294" s="1096">
        <v>0</v>
      </c>
      <c r="AJ294" s="1096">
        <v>0</v>
      </c>
      <c r="AK294" s="1096">
        <v>0</v>
      </c>
      <c r="AL294" s="1096">
        <v>0</v>
      </c>
      <c r="AM294" s="1096">
        <v>0</v>
      </c>
      <c r="AN294" s="1096">
        <v>0</v>
      </c>
      <c r="AO294" s="1096">
        <v>0</v>
      </c>
      <c r="AP294" s="1096">
        <v>0</v>
      </c>
      <c r="AQ294" s="1096">
        <v>0</v>
      </c>
      <c r="AR294" s="1096">
        <v>0</v>
      </c>
      <c r="AS294" s="1096">
        <v>0</v>
      </c>
      <c r="AT294" s="1096">
        <v>0</v>
      </c>
      <c r="AU294" s="1096">
        <v>0</v>
      </c>
    </row>
    <row r="295" spans="1:47" s="1077" customFormat="1" ht="30" x14ac:dyDescent="0.25">
      <c r="A295" s="99">
        <v>636</v>
      </c>
      <c r="B295" s="1116"/>
      <c r="C295" s="1116">
        <v>636</v>
      </c>
      <c r="D295" s="1117" t="s">
        <v>470</v>
      </c>
      <c r="E295" s="1091">
        <v>0</v>
      </c>
      <c r="F295" s="1071">
        <v>0</v>
      </c>
      <c r="G295" s="1071">
        <v>0</v>
      </c>
      <c r="H295" s="1071">
        <v>0</v>
      </c>
      <c r="I295" s="1071">
        <v>0</v>
      </c>
      <c r="J295" s="1072">
        <v>0</v>
      </c>
      <c r="K295" s="1096">
        <v>0</v>
      </c>
      <c r="L295" s="1097">
        <v>0</v>
      </c>
      <c r="M295" s="1097">
        <v>0</v>
      </c>
      <c r="N295" s="1097">
        <v>0</v>
      </c>
      <c r="O295" s="1097">
        <v>0</v>
      </c>
      <c r="P295" s="1097">
        <v>0</v>
      </c>
      <c r="Q295" s="1097">
        <v>0</v>
      </c>
      <c r="R295" s="1097">
        <v>0</v>
      </c>
      <c r="S295" s="1097">
        <v>0</v>
      </c>
      <c r="T295" s="1097">
        <v>0</v>
      </c>
      <c r="U295" s="1097">
        <v>0</v>
      </c>
      <c r="V295" s="1097">
        <v>0</v>
      </c>
      <c r="W295" s="1097">
        <v>0</v>
      </c>
      <c r="X295" s="1097">
        <v>0</v>
      </c>
      <c r="Y295" s="1097">
        <v>0</v>
      </c>
      <c r="Z295" s="1097">
        <v>0</v>
      </c>
      <c r="AA295" s="1096">
        <v>0</v>
      </c>
      <c r="AB295" s="1096">
        <v>0</v>
      </c>
      <c r="AC295" s="1096">
        <v>0</v>
      </c>
      <c r="AD295" s="1096">
        <v>0</v>
      </c>
      <c r="AE295" s="1096">
        <v>0</v>
      </c>
      <c r="AF295" s="1096">
        <v>0</v>
      </c>
      <c r="AG295" s="1096">
        <v>0</v>
      </c>
      <c r="AH295" s="1096">
        <v>0</v>
      </c>
      <c r="AI295" s="1096">
        <v>0</v>
      </c>
      <c r="AJ295" s="1096">
        <v>0</v>
      </c>
      <c r="AK295" s="1096">
        <v>0</v>
      </c>
      <c r="AL295" s="1096">
        <v>0</v>
      </c>
      <c r="AM295" s="1096">
        <v>0</v>
      </c>
      <c r="AN295" s="1096">
        <v>0</v>
      </c>
      <c r="AO295" s="1096">
        <v>0</v>
      </c>
      <c r="AP295" s="1096">
        <v>0</v>
      </c>
      <c r="AQ295" s="1096">
        <v>0</v>
      </c>
      <c r="AR295" s="1096">
        <v>0</v>
      </c>
      <c r="AS295" s="1096">
        <v>0</v>
      </c>
      <c r="AT295" s="1096">
        <v>0</v>
      </c>
      <c r="AU295" s="1096">
        <v>0</v>
      </c>
    </row>
    <row r="296" spans="1:47" s="1077" customFormat="1" ht="45" x14ac:dyDescent="0.25">
      <c r="A296" s="99">
        <v>637</v>
      </c>
      <c r="B296" s="1116"/>
      <c r="C296" s="1116">
        <v>637</v>
      </c>
      <c r="D296" s="1117" t="s">
        <v>471</v>
      </c>
      <c r="E296" s="1091">
        <v>0</v>
      </c>
      <c r="F296" s="1071">
        <v>0</v>
      </c>
      <c r="G296" s="1071">
        <v>0</v>
      </c>
      <c r="H296" s="1071">
        <v>0</v>
      </c>
      <c r="I296" s="1071">
        <v>0</v>
      </c>
      <c r="J296" s="1072">
        <v>0</v>
      </c>
      <c r="K296" s="1096">
        <v>0</v>
      </c>
      <c r="L296" s="1097">
        <v>0</v>
      </c>
      <c r="M296" s="1097">
        <v>0</v>
      </c>
      <c r="N296" s="1097">
        <v>0</v>
      </c>
      <c r="O296" s="1097">
        <v>0</v>
      </c>
      <c r="P296" s="1097">
        <v>0</v>
      </c>
      <c r="Q296" s="1097">
        <v>0</v>
      </c>
      <c r="R296" s="1097">
        <v>0</v>
      </c>
      <c r="S296" s="1097">
        <v>0</v>
      </c>
      <c r="T296" s="1097">
        <v>0</v>
      </c>
      <c r="U296" s="1097">
        <v>0</v>
      </c>
      <c r="V296" s="1097">
        <v>0</v>
      </c>
      <c r="W296" s="1097">
        <v>0</v>
      </c>
      <c r="X296" s="1097">
        <v>0</v>
      </c>
      <c r="Y296" s="1097">
        <v>0</v>
      </c>
      <c r="Z296" s="1097">
        <v>0</v>
      </c>
      <c r="AA296" s="1096">
        <v>0</v>
      </c>
      <c r="AB296" s="1096">
        <v>0</v>
      </c>
      <c r="AC296" s="1096">
        <v>0</v>
      </c>
      <c r="AD296" s="1096">
        <v>0</v>
      </c>
      <c r="AE296" s="1096">
        <v>0</v>
      </c>
      <c r="AF296" s="1096">
        <v>0</v>
      </c>
      <c r="AG296" s="1096">
        <v>0</v>
      </c>
      <c r="AH296" s="1096">
        <v>0</v>
      </c>
      <c r="AI296" s="1096">
        <v>0</v>
      </c>
      <c r="AJ296" s="1096">
        <v>0</v>
      </c>
      <c r="AK296" s="1096">
        <v>0</v>
      </c>
      <c r="AL296" s="1096">
        <v>0</v>
      </c>
      <c r="AM296" s="1096">
        <v>0</v>
      </c>
      <c r="AN296" s="1096">
        <v>0</v>
      </c>
      <c r="AO296" s="1096">
        <v>0</v>
      </c>
      <c r="AP296" s="1096">
        <v>0</v>
      </c>
      <c r="AQ296" s="1096">
        <v>0</v>
      </c>
      <c r="AR296" s="1096">
        <v>0</v>
      </c>
      <c r="AS296" s="1096">
        <v>0</v>
      </c>
      <c r="AT296" s="1096">
        <v>0</v>
      </c>
      <c r="AU296" s="1096">
        <v>0</v>
      </c>
    </row>
    <row r="297" spans="1:47" s="1077" customFormat="1" x14ac:dyDescent="0.25">
      <c r="A297" s="99">
        <v>638</v>
      </c>
      <c r="B297" s="1116"/>
      <c r="C297" s="1116">
        <v>638</v>
      </c>
      <c r="D297" s="1117" t="s">
        <v>476</v>
      </c>
      <c r="E297" s="1091">
        <v>0</v>
      </c>
      <c r="F297" s="1071">
        <v>0</v>
      </c>
      <c r="G297" s="1071">
        <v>0</v>
      </c>
      <c r="H297" s="1071">
        <v>0</v>
      </c>
      <c r="I297" s="1071">
        <v>0</v>
      </c>
      <c r="J297" s="1072">
        <v>0</v>
      </c>
      <c r="K297" s="1096">
        <v>0</v>
      </c>
      <c r="L297" s="1097">
        <v>0</v>
      </c>
      <c r="M297" s="1097">
        <v>0</v>
      </c>
      <c r="N297" s="1097">
        <v>0</v>
      </c>
      <c r="O297" s="1097">
        <v>0</v>
      </c>
      <c r="P297" s="1097">
        <v>0</v>
      </c>
      <c r="Q297" s="1097">
        <v>0</v>
      </c>
      <c r="R297" s="1097">
        <v>0</v>
      </c>
      <c r="S297" s="1097">
        <v>0</v>
      </c>
      <c r="T297" s="1097">
        <v>0</v>
      </c>
      <c r="U297" s="1097">
        <v>0</v>
      </c>
      <c r="V297" s="1097">
        <v>0</v>
      </c>
      <c r="W297" s="1097">
        <v>0</v>
      </c>
      <c r="X297" s="1097">
        <v>0</v>
      </c>
      <c r="Y297" s="1097">
        <v>0</v>
      </c>
      <c r="Z297" s="1097">
        <v>0</v>
      </c>
      <c r="AA297" s="1096">
        <v>0</v>
      </c>
      <c r="AB297" s="1096">
        <v>0</v>
      </c>
      <c r="AC297" s="1096">
        <v>0</v>
      </c>
      <c r="AD297" s="1096">
        <v>0</v>
      </c>
      <c r="AE297" s="1096">
        <v>0</v>
      </c>
      <c r="AF297" s="1096">
        <v>0</v>
      </c>
      <c r="AG297" s="1096">
        <v>0</v>
      </c>
      <c r="AH297" s="1096">
        <v>0</v>
      </c>
      <c r="AI297" s="1096">
        <v>0</v>
      </c>
      <c r="AJ297" s="1096">
        <v>0</v>
      </c>
      <c r="AK297" s="1096">
        <v>0</v>
      </c>
      <c r="AL297" s="1096">
        <v>0</v>
      </c>
      <c r="AM297" s="1096">
        <v>0</v>
      </c>
      <c r="AN297" s="1096">
        <v>0</v>
      </c>
      <c r="AO297" s="1096">
        <v>0</v>
      </c>
      <c r="AP297" s="1096">
        <v>0</v>
      </c>
      <c r="AQ297" s="1096">
        <v>0</v>
      </c>
      <c r="AR297" s="1096">
        <v>0</v>
      </c>
      <c r="AS297" s="1096">
        <v>0</v>
      </c>
      <c r="AT297" s="1096">
        <v>0</v>
      </c>
      <c r="AU297" s="1096">
        <v>0</v>
      </c>
    </row>
    <row r="298" spans="1:47" s="1077" customFormat="1" ht="45" x14ac:dyDescent="0.25">
      <c r="A298" s="99">
        <v>639</v>
      </c>
      <c r="B298" s="1116"/>
      <c r="C298" s="1116">
        <v>639</v>
      </c>
      <c r="D298" s="1117" t="s">
        <v>477</v>
      </c>
      <c r="E298" s="1091">
        <v>0</v>
      </c>
      <c r="F298" s="1071">
        <v>0</v>
      </c>
      <c r="G298" s="1071">
        <v>0</v>
      </c>
      <c r="H298" s="1071">
        <v>0</v>
      </c>
      <c r="I298" s="1071">
        <v>0</v>
      </c>
      <c r="J298" s="1072">
        <v>0</v>
      </c>
      <c r="K298" s="1096">
        <v>0</v>
      </c>
      <c r="L298" s="1097">
        <v>0</v>
      </c>
      <c r="M298" s="1097">
        <v>0</v>
      </c>
      <c r="N298" s="1097">
        <v>0</v>
      </c>
      <c r="O298" s="1097">
        <v>0</v>
      </c>
      <c r="P298" s="1097">
        <v>0</v>
      </c>
      <c r="Q298" s="1097">
        <v>0</v>
      </c>
      <c r="R298" s="1097">
        <v>0</v>
      </c>
      <c r="S298" s="1097">
        <v>0</v>
      </c>
      <c r="T298" s="1097">
        <v>0</v>
      </c>
      <c r="U298" s="1097">
        <v>0</v>
      </c>
      <c r="V298" s="1097">
        <v>0</v>
      </c>
      <c r="W298" s="1097">
        <v>0</v>
      </c>
      <c r="X298" s="1097">
        <v>0</v>
      </c>
      <c r="Y298" s="1097">
        <v>0</v>
      </c>
      <c r="Z298" s="1097">
        <v>0</v>
      </c>
      <c r="AA298" s="1096">
        <v>0</v>
      </c>
      <c r="AB298" s="1096">
        <v>0</v>
      </c>
      <c r="AC298" s="1096">
        <v>0</v>
      </c>
      <c r="AD298" s="1096">
        <v>0</v>
      </c>
      <c r="AE298" s="1096">
        <v>0</v>
      </c>
      <c r="AF298" s="1096">
        <v>0</v>
      </c>
      <c r="AG298" s="1096">
        <v>0</v>
      </c>
      <c r="AH298" s="1096">
        <v>0</v>
      </c>
      <c r="AI298" s="1096">
        <v>0</v>
      </c>
      <c r="AJ298" s="1096">
        <v>0</v>
      </c>
      <c r="AK298" s="1096">
        <v>0</v>
      </c>
      <c r="AL298" s="1096">
        <v>0</v>
      </c>
      <c r="AM298" s="1096">
        <v>0</v>
      </c>
      <c r="AN298" s="1096">
        <v>0</v>
      </c>
      <c r="AO298" s="1096">
        <v>0</v>
      </c>
      <c r="AP298" s="1096">
        <v>0</v>
      </c>
      <c r="AQ298" s="1096">
        <v>0</v>
      </c>
      <c r="AR298" s="1096">
        <v>0</v>
      </c>
      <c r="AS298" s="1096">
        <v>0</v>
      </c>
      <c r="AT298" s="1096">
        <v>0</v>
      </c>
      <c r="AU298" s="1096">
        <v>0</v>
      </c>
    </row>
    <row r="299" spans="1:47" s="1077" customFormat="1" ht="30" x14ac:dyDescent="0.25">
      <c r="A299" s="99">
        <v>640</v>
      </c>
      <c r="B299" s="1116"/>
      <c r="C299" s="1116">
        <v>640</v>
      </c>
      <c r="D299" s="1117" t="s">
        <v>478</v>
      </c>
      <c r="E299" s="1091">
        <v>0</v>
      </c>
      <c r="F299" s="1071">
        <v>0</v>
      </c>
      <c r="G299" s="1071">
        <v>0</v>
      </c>
      <c r="H299" s="1071">
        <v>0</v>
      </c>
      <c r="I299" s="1071">
        <v>0</v>
      </c>
      <c r="J299" s="1072">
        <v>0</v>
      </c>
      <c r="K299" s="1096">
        <v>0</v>
      </c>
      <c r="L299" s="1097">
        <v>0</v>
      </c>
      <c r="M299" s="1097">
        <v>0</v>
      </c>
      <c r="N299" s="1097">
        <v>0</v>
      </c>
      <c r="O299" s="1097">
        <v>0</v>
      </c>
      <c r="P299" s="1097">
        <v>0</v>
      </c>
      <c r="Q299" s="1097">
        <v>0</v>
      </c>
      <c r="R299" s="1097">
        <v>0</v>
      </c>
      <c r="S299" s="1097">
        <v>0</v>
      </c>
      <c r="T299" s="1097">
        <v>0</v>
      </c>
      <c r="U299" s="1097">
        <v>0</v>
      </c>
      <c r="V299" s="1097">
        <v>0</v>
      </c>
      <c r="W299" s="1097">
        <v>0</v>
      </c>
      <c r="X299" s="1097">
        <v>0</v>
      </c>
      <c r="Y299" s="1097">
        <v>0</v>
      </c>
      <c r="Z299" s="1097">
        <v>0</v>
      </c>
      <c r="AA299" s="1096">
        <v>0</v>
      </c>
      <c r="AB299" s="1096">
        <v>0</v>
      </c>
      <c r="AC299" s="1096">
        <v>0</v>
      </c>
      <c r="AD299" s="1096">
        <v>0</v>
      </c>
      <c r="AE299" s="1096">
        <v>0</v>
      </c>
      <c r="AF299" s="1096">
        <v>0</v>
      </c>
      <c r="AG299" s="1096">
        <v>0</v>
      </c>
      <c r="AH299" s="1096">
        <v>0</v>
      </c>
      <c r="AI299" s="1096">
        <v>0</v>
      </c>
      <c r="AJ299" s="1096">
        <v>0</v>
      </c>
      <c r="AK299" s="1096">
        <v>0</v>
      </c>
      <c r="AL299" s="1096">
        <v>0</v>
      </c>
      <c r="AM299" s="1096">
        <v>0</v>
      </c>
      <c r="AN299" s="1096">
        <v>0</v>
      </c>
      <c r="AO299" s="1096">
        <v>0</v>
      </c>
      <c r="AP299" s="1096">
        <v>0</v>
      </c>
      <c r="AQ299" s="1096">
        <v>0</v>
      </c>
      <c r="AR299" s="1096">
        <v>0</v>
      </c>
      <c r="AS299" s="1096">
        <v>0</v>
      </c>
      <c r="AT299" s="1096">
        <v>0</v>
      </c>
      <c r="AU299" s="1096">
        <v>0</v>
      </c>
    </row>
    <row r="300" spans="1:47" s="1077" customFormat="1" ht="30" x14ac:dyDescent="0.25">
      <c r="A300" s="99">
        <v>641</v>
      </c>
      <c r="B300" s="1116"/>
      <c r="C300" s="1116">
        <v>641</v>
      </c>
      <c r="D300" s="1117" t="s">
        <v>479</v>
      </c>
      <c r="E300" s="1091">
        <v>0</v>
      </c>
      <c r="F300" s="1071">
        <v>0</v>
      </c>
      <c r="G300" s="1071">
        <v>0</v>
      </c>
      <c r="H300" s="1071">
        <v>0</v>
      </c>
      <c r="I300" s="1071">
        <v>0</v>
      </c>
      <c r="J300" s="1072">
        <v>0</v>
      </c>
      <c r="K300" s="1096">
        <v>0</v>
      </c>
      <c r="L300" s="1097">
        <v>0</v>
      </c>
      <c r="M300" s="1097">
        <v>0</v>
      </c>
      <c r="N300" s="1097">
        <v>0</v>
      </c>
      <c r="O300" s="1097">
        <v>0</v>
      </c>
      <c r="P300" s="1097">
        <v>0</v>
      </c>
      <c r="Q300" s="1097">
        <v>0</v>
      </c>
      <c r="R300" s="1097">
        <v>0</v>
      </c>
      <c r="S300" s="1097">
        <v>0</v>
      </c>
      <c r="T300" s="1097">
        <v>0</v>
      </c>
      <c r="U300" s="1097">
        <v>0</v>
      </c>
      <c r="V300" s="1097">
        <v>0</v>
      </c>
      <c r="W300" s="1097">
        <v>0</v>
      </c>
      <c r="X300" s="1097">
        <v>0</v>
      </c>
      <c r="Y300" s="1097">
        <v>0</v>
      </c>
      <c r="Z300" s="1097">
        <v>0</v>
      </c>
      <c r="AA300" s="1096">
        <v>0</v>
      </c>
      <c r="AB300" s="1096">
        <v>0</v>
      </c>
      <c r="AC300" s="1096">
        <v>0</v>
      </c>
      <c r="AD300" s="1096">
        <v>0</v>
      </c>
      <c r="AE300" s="1096">
        <v>0</v>
      </c>
      <c r="AF300" s="1096">
        <v>0</v>
      </c>
      <c r="AG300" s="1096">
        <v>0</v>
      </c>
      <c r="AH300" s="1096">
        <v>0</v>
      </c>
      <c r="AI300" s="1096">
        <v>0</v>
      </c>
      <c r="AJ300" s="1096">
        <v>0</v>
      </c>
      <c r="AK300" s="1096">
        <v>0</v>
      </c>
      <c r="AL300" s="1096">
        <v>0</v>
      </c>
      <c r="AM300" s="1096">
        <v>0</v>
      </c>
      <c r="AN300" s="1096">
        <v>0</v>
      </c>
      <c r="AO300" s="1096">
        <v>0</v>
      </c>
      <c r="AP300" s="1096">
        <v>0</v>
      </c>
      <c r="AQ300" s="1096">
        <v>0</v>
      </c>
      <c r="AR300" s="1096">
        <v>0</v>
      </c>
      <c r="AS300" s="1096">
        <v>0</v>
      </c>
      <c r="AT300" s="1096">
        <v>0</v>
      </c>
      <c r="AU300" s="1096">
        <v>0</v>
      </c>
    </row>
    <row r="301" spans="1:47" s="1077" customFormat="1" ht="30" x14ac:dyDescent="0.25">
      <c r="A301" s="99">
        <v>642</v>
      </c>
      <c r="B301" s="1116"/>
      <c r="C301" s="1116">
        <v>642</v>
      </c>
      <c r="D301" s="1117" t="s">
        <v>480</v>
      </c>
      <c r="E301" s="1091">
        <v>0</v>
      </c>
      <c r="F301" s="1071">
        <v>0</v>
      </c>
      <c r="G301" s="1071">
        <v>0</v>
      </c>
      <c r="H301" s="1071">
        <v>0</v>
      </c>
      <c r="I301" s="1071">
        <v>0</v>
      </c>
      <c r="J301" s="1072">
        <v>0</v>
      </c>
      <c r="K301" s="1096">
        <v>0</v>
      </c>
      <c r="L301" s="1097">
        <v>0</v>
      </c>
      <c r="M301" s="1097">
        <v>0</v>
      </c>
      <c r="N301" s="1097">
        <v>0</v>
      </c>
      <c r="O301" s="1097">
        <v>0</v>
      </c>
      <c r="P301" s="1097">
        <v>0</v>
      </c>
      <c r="Q301" s="1097">
        <v>0</v>
      </c>
      <c r="R301" s="1097">
        <v>0</v>
      </c>
      <c r="S301" s="1097">
        <v>0</v>
      </c>
      <c r="T301" s="1097">
        <v>0</v>
      </c>
      <c r="U301" s="1097">
        <v>0</v>
      </c>
      <c r="V301" s="1097">
        <v>0</v>
      </c>
      <c r="W301" s="1097">
        <v>0</v>
      </c>
      <c r="X301" s="1097">
        <v>0</v>
      </c>
      <c r="Y301" s="1097">
        <v>0</v>
      </c>
      <c r="Z301" s="1097">
        <v>0</v>
      </c>
      <c r="AA301" s="1096">
        <v>0</v>
      </c>
      <c r="AB301" s="1096">
        <v>0</v>
      </c>
      <c r="AC301" s="1096">
        <v>0</v>
      </c>
      <c r="AD301" s="1096">
        <v>0</v>
      </c>
      <c r="AE301" s="1096">
        <v>0</v>
      </c>
      <c r="AF301" s="1096">
        <v>0</v>
      </c>
      <c r="AG301" s="1096">
        <v>0</v>
      </c>
      <c r="AH301" s="1096">
        <v>0</v>
      </c>
      <c r="AI301" s="1096">
        <v>0</v>
      </c>
      <c r="AJ301" s="1096">
        <v>0</v>
      </c>
      <c r="AK301" s="1096">
        <v>0</v>
      </c>
      <c r="AL301" s="1096">
        <v>0</v>
      </c>
      <c r="AM301" s="1096">
        <v>0</v>
      </c>
      <c r="AN301" s="1096">
        <v>0</v>
      </c>
      <c r="AO301" s="1096">
        <v>0</v>
      </c>
      <c r="AP301" s="1096">
        <v>0</v>
      </c>
      <c r="AQ301" s="1096">
        <v>0</v>
      </c>
      <c r="AR301" s="1096">
        <v>0</v>
      </c>
      <c r="AS301" s="1096">
        <v>0</v>
      </c>
      <c r="AT301" s="1096">
        <v>0</v>
      </c>
      <c r="AU301" s="1096">
        <v>0</v>
      </c>
    </row>
    <row r="302" spans="1:47" s="1077" customFormat="1" ht="45" x14ac:dyDescent="0.25">
      <c r="A302" s="99">
        <v>643</v>
      </c>
      <c r="B302" s="1116"/>
      <c r="C302" s="1116">
        <v>643</v>
      </c>
      <c r="D302" s="1117" t="s">
        <v>481</v>
      </c>
      <c r="E302" s="1091">
        <v>0</v>
      </c>
      <c r="F302" s="1071">
        <v>0</v>
      </c>
      <c r="G302" s="1071">
        <v>0</v>
      </c>
      <c r="H302" s="1071">
        <v>0</v>
      </c>
      <c r="I302" s="1071">
        <v>0</v>
      </c>
      <c r="J302" s="1072">
        <v>0</v>
      </c>
      <c r="K302" s="1096">
        <v>0</v>
      </c>
      <c r="L302" s="1097">
        <v>0</v>
      </c>
      <c r="M302" s="1097">
        <v>0</v>
      </c>
      <c r="N302" s="1097">
        <v>0</v>
      </c>
      <c r="O302" s="1097">
        <v>0</v>
      </c>
      <c r="P302" s="1097">
        <v>0</v>
      </c>
      <c r="Q302" s="1097">
        <v>0</v>
      </c>
      <c r="R302" s="1097">
        <v>0</v>
      </c>
      <c r="S302" s="1097">
        <v>0</v>
      </c>
      <c r="T302" s="1097">
        <v>0</v>
      </c>
      <c r="U302" s="1097">
        <v>0</v>
      </c>
      <c r="V302" s="1097">
        <v>0</v>
      </c>
      <c r="W302" s="1097">
        <v>0</v>
      </c>
      <c r="X302" s="1097">
        <v>0</v>
      </c>
      <c r="Y302" s="1097">
        <v>0</v>
      </c>
      <c r="Z302" s="1097">
        <v>0</v>
      </c>
      <c r="AA302" s="1096">
        <v>0</v>
      </c>
      <c r="AB302" s="1096">
        <v>0</v>
      </c>
      <c r="AC302" s="1096">
        <v>0</v>
      </c>
      <c r="AD302" s="1096">
        <v>0</v>
      </c>
      <c r="AE302" s="1096">
        <v>0</v>
      </c>
      <c r="AF302" s="1096">
        <v>0</v>
      </c>
      <c r="AG302" s="1096">
        <v>0</v>
      </c>
      <c r="AH302" s="1096">
        <v>0</v>
      </c>
      <c r="AI302" s="1096">
        <v>0</v>
      </c>
      <c r="AJ302" s="1096">
        <v>0</v>
      </c>
      <c r="AK302" s="1096">
        <v>0</v>
      </c>
      <c r="AL302" s="1096">
        <v>0</v>
      </c>
      <c r="AM302" s="1096">
        <v>0</v>
      </c>
      <c r="AN302" s="1096">
        <v>0</v>
      </c>
      <c r="AO302" s="1096">
        <v>0</v>
      </c>
      <c r="AP302" s="1096">
        <v>0</v>
      </c>
      <c r="AQ302" s="1096">
        <v>0</v>
      </c>
      <c r="AR302" s="1096">
        <v>0</v>
      </c>
      <c r="AS302" s="1096">
        <v>0</v>
      </c>
      <c r="AT302" s="1096">
        <v>0</v>
      </c>
      <c r="AU302" s="1096">
        <v>0</v>
      </c>
    </row>
    <row r="303" spans="1:47" s="1077" customFormat="1" x14ac:dyDescent="0.25">
      <c r="A303" s="99">
        <v>644</v>
      </c>
      <c r="B303" s="1116"/>
      <c r="C303" s="1116">
        <v>644</v>
      </c>
      <c r="D303" s="1117" t="s">
        <v>482</v>
      </c>
      <c r="E303" s="1091">
        <v>0</v>
      </c>
      <c r="F303" s="1071">
        <v>0</v>
      </c>
      <c r="G303" s="1071">
        <v>0</v>
      </c>
      <c r="H303" s="1071">
        <v>0</v>
      </c>
      <c r="I303" s="1071">
        <v>0</v>
      </c>
      <c r="J303" s="1072">
        <v>0</v>
      </c>
      <c r="K303" s="1096">
        <v>0</v>
      </c>
      <c r="L303" s="1097">
        <v>0</v>
      </c>
      <c r="M303" s="1097">
        <v>0</v>
      </c>
      <c r="N303" s="1097">
        <v>0</v>
      </c>
      <c r="O303" s="1097">
        <v>0</v>
      </c>
      <c r="P303" s="1097">
        <v>0</v>
      </c>
      <c r="Q303" s="1097">
        <v>0</v>
      </c>
      <c r="R303" s="1097">
        <v>0</v>
      </c>
      <c r="S303" s="1097">
        <v>0</v>
      </c>
      <c r="T303" s="1097">
        <v>0</v>
      </c>
      <c r="U303" s="1097">
        <v>0</v>
      </c>
      <c r="V303" s="1097">
        <v>0</v>
      </c>
      <c r="W303" s="1097">
        <v>0</v>
      </c>
      <c r="X303" s="1097">
        <v>0</v>
      </c>
      <c r="Y303" s="1097">
        <v>0</v>
      </c>
      <c r="Z303" s="1097">
        <v>0</v>
      </c>
      <c r="AA303" s="1096">
        <v>0</v>
      </c>
      <c r="AB303" s="1096">
        <v>0</v>
      </c>
      <c r="AC303" s="1096">
        <v>0</v>
      </c>
      <c r="AD303" s="1096">
        <v>0</v>
      </c>
      <c r="AE303" s="1096">
        <v>0</v>
      </c>
      <c r="AF303" s="1096">
        <v>0</v>
      </c>
      <c r="AG303" s="1096">
        <v>0</v>
      </c>
      <c r="AH303" s="1096">
        <v>0</v>
      </c>
      <c r="AI303" s="1096">
        <v>0</v>
      </c>
      <c r="AJ303" s="1096">
        <v>0</v>
      </c>
      <c r="AK303" s="1096">
        <v>0</v>
      </c>
      <c r="AL303" s="1096">
        <v>0</v>
      </c>
      <c r="AM303" s="1096">
        <v>0</v>
      </c>
      <c r="AN303" s="1096">
        <v>0</v>
      </c>
      <c r="AO303" s="1096">
        <v>0</v>
      </c>
      <c r="AP303" s="1096">
        <v>0</v>
      </c>
      <c r="AQ303" s="1096">
        <v>0</v>
      </c>
      <c r="AR303" s="1096">
        <v>0</v>
      </c>
      <c r="AS303" s="1096">
        <v>0</v>
      </c>
      <c r="AT303" s="1096">
        <v>0</v>
      </c>
      <c r="AU303" s="1096">
        <v>0</v>
      </c>
    </row>
    <row r="304" spans="1:47" s="1077" customFormat="1" x14ac:dyDescent="0.25">
      <c r="A304" s="99">
        <v>645</v>
      </c>
      <c r="B304" s="1116">
        <v>645</v>
      </c>
      <c r="C304" s="1116">
        <v>645</v>
      </c>
      <c r="D304" s="1117" t="s">
        <v>483</v>
      </c>
      <c r="E304" s="1091">
        <v>0</v>
      </c>
      <c r="F304" s="1071">
        <v>0</v>
      </c>
      <c r="G304" s="1071">
        <v>0</v>
      </c>
      <c r="H304" s="1071">
        <v>0</v>
      </c>
      <c r="I304" s="1071">
        <v>0</v>
      </c>
      <c r="J304" s="1072">
        <v>250</v>
      </c>
      <c r="K304" s="1096">
        <v>0</v>
      </c>
      <c r="L304" s="1097">
        <v>0</v>
      </c>
      <c r="M304" s="1097">
        <v>0</v>
      </c>
      <c r="N304" s="1097">
        <v>0</v>
      </c>
      <c r="O304" s="1097">
        <v>0</v>
      </c>
      <c r="P304" s="1097">
        <v>0</v>
      </c>
      <c r="Q304" s="1097">
        <v>0</v>
      </c>
      <c r="R304" s="1097">
        <v>0</v>
      </c>
      <c r="S304" s="1097">
        <v>0</v>
      </c>
      <c r="T304" s="1097">
        <v>0</v>
      </c>
      <c r="U304" s="1097">
        <v>0</v>
      </c>
      <c r="V304" s="1097">
        <v>0</v>
      </c>
      <c r="W304" s="1097">
        <v>0</v>
      </c>
      <c r="X304" s="1097">
        <v>44096</v>
      </c>
      <c r="Y304" s="1097">
        <v>0</v>
      </c>
      <c r="Z304" s="1097">
        <v>0</v>
      </c>
      <c r="AA304" s="1096">
        <v>0</v>
      </c>
      <c r="AB304" s="1096">
        <v>0</v>
      </c>
      <c r="AC304" s="1096">
        <v>0</v>
      </c>
      <c r="AD304" s="1096">
        <v>0</v>
      </c>
      <c r="AE304" s="1096">
        <v>0</v>
      </c>
      <c r="AF304" s="1096">
        <v>0</v>
      </c>
      <c r="AG304" s="1096">
        <v>0</v>
      </c>
      <c r="AH304" s="1096">
        <v>0</v>
      </c>
      <c r="AI304" s="1096">
        <v>0</v>
      </c>
      <c r="AJ304" s="1096">
        <v>1821492</v>
      </c>
      <c r="AK304" s="1096">
        <v>1932989</v>
      </c>
      <c r="AL304" s="1096">
        <v>0</v>
      </c>
      <c r="AM304" s="1096">
        <v>0</v>
      </c>
      <c r="AN304" s="1096">
        <v>793</v>
      </c>
      <c r="AO304" s="1096">
        <v>2625</v>
      </c>
      <c r="AP304" s="1096">
        <v>0</v>
      </c>
      <c r="AQ304" s="1096">
        <v>0</v>
      </c>
      <c r="AR304" s="1096">
        <v>0</v>
      </c>
      <c r="AS304" s="1096">
        <v>0</v>
      </c>
      <c r="AT304" s="1096">
        <v>0</v>
      </c>
      <c r="AU304" s="1096">
        <v>115600</v>
      </c>
    </row>
    <row r="305" spans="1:47" s="1077" customFormat="1" x14ac:dyDescent="0.25">
      <c r="A305" s="99">
        <v>646</v>
      </c>
      <c r="B305" s="1116">
        <v>646</v>
      </c>
      <c r="C305" s="1116">
        <v>646</v>
      </c>
      <c r="D305" s="1117" t="s">
        <v>484</v>
      </c>
      <c r="E305" s="1091">
        <v>0</v>
      </c>
      <c r="F305" s="1071">
        <v>0</v>
      </c>
      <c r="G305" s="1071">
        <v>298578</v>
      </c>
      <c r="H305" s="1071">
        <v>0</v>
      </c>
      <c r="I305" s="1071">
        <v>0</v>
      </c>
      <c r="J305" s="1072">
        <v>204963</v>
      </c>
      <c r="K305" s="1096">
        <v>1135395</v>
      </c>
      <c r="L305" s="1097">
        <v>0</v>
      </c>
      <c r="M305" s="1097">
        <v>0</v>
      </c>
      <c r="N305" s="1097">
        <v>0</v>
      </c>
      <c r="O305" s="1097">
        <v>0</v>
      </c>
      <c r="P305" s="1097">
        <v>0</v>
      </c>
      <c r="Q305" s="1097">
        <v>0</v>
      </c>
      <c r="R305" s="1097">
        <v>0</v>
      </c>
      <c r="S305" s="1097">
        <v>324457</v>
      </c>
      <c r="T305" s="1097">
        <v>0</v>
      </c>
      <c r="U305" s="1097">
        <v>0</v>
      </c>
      <c r="V305" s="1097">
        <v>756165</v>
      </c>
      <c r="W305" s="1097">
        <v>0</v>
      </c>
      <c r="X305" s="1097">
        <v>37875</v>
      </c>
      <c r="Y305" s="1097">
        <v>0</v>
      </c>
      <c r="Z305" s="1097">
        <v>150409</v>
      </c>
      <c r="AA305" s="1096">
        <v>0</v>
      </c>
      <c r="AB305" s="1096">
        <v>0</v>
      </c>
      <c r="AC305" s="1096">
        <v>52984</v>
      </c>
      <c r="AD305" s="1096">
        <v>0</v>
      </c>
      <c r="AE305" s="1096">
        <v>116228</v>
      </c>
      <c r="AF305" s="1096">
        <v>-1073858</v>
      </c>
      <c r="AG305" s="1096">
        <v>0</v>
      </c>
      <c r="AH305" s="1096">
        <v>113838</v>
      </c>
      <c r="AI305" s="1096">
        <v>0</v>
      </c>
      <c r="AJ305" s="1096">
        <v>5530206</v>
      </c>
      <c r="AK305" s="1096">
        <v>729477</v>
      </c>
      <c r="AL305" s="1096">
        <v>14458841</v>
      </c>
      <c r="AM305" s="1096">
        <v>0</v>
      </c>
      <c r="AN305" s="1096">
        <v>39240</v>
      </c>
      <c r="AO305" s="1096">
        <v>13329</v>
      </c>
      <c r="AP305" s="1096">
        <v>31391</v>
      </c>
      <c r="AQ305" s="1096">
        <v>56776</v>
      </c>
      <c r="AR305" s="1096">
        <v>0</v>
      </c>
      <c r="AS305" s="1096">
        <v>0</v>
      </c>
      <c r="AT305" s="1096">
        <v>0</v>
      </c>
      <c r="AU305" s="1096">
        <v>160613</v>
      </c>
    </row>
    <row r="306" spans="1:47" s="1077" customFormat="1" ht="30" x14ac:dyDescent="0.25">
      <c r="A306" s="99">
        <v>647</v>
      </c>
      <c r="B306" s="1116">
        <v>647</v>
      </c>
      <c r="C306" s="1116">
        <v>647</v>
      </c>
      <c r="D306" s="1117" t="s">
        <v>485</v>
      </c>
      <c r="E306" s="1091">
        <v>0</v>
      </c>
      <c r="F306" s="1071">
        <v>0</v>
      </c>
      <c r="G306" s="1071">
        <v>0</v>
      </c>
      <c r="H306" s="1071">
        <v>0</v>
      </c>
      <c r="I306" s="1071">
        <v>0</v>
      </c>
      <c r="J306" s="1072">
        <v>0</v>
      </c>
      <c r="K306" s="1096">
        <v>0</v>
      </c>
      <c r="L306" s="1097">
        <v>0</v>
      </c>
      <c r="M306" s="1097">
        <v>0</v>
      </c>
      <c r="N306" s="1097">
        <v>0</v>
      </c>
      <c r="O306" s="1097">
        <v>0</v>
      </c>
      <c r="P306" s="1097">
        <v>0</v>
      </c>
      <c r="Q306" s="1097">
        <v>0</v>
      </c>
      <c r="R306" s="1097">
        <v>0</v>
      </c>
      <c r="S306" s="1097">
        <v>0</v>
      </c>
      <c r="T306" s="1097">
        <v>0</v>
      </c>
      <c r="U306" s="1097">
        <v>0</v>
      </c>
      <c r="V306" s="1097">
        <v>0</v>
      </c>
      <c r="W306" s="1097">
        <v>0</v>
      </c>
      <c r="X306" s="1097">
        <v>0</v>
      </c>
      <c r="Y306" s="1097">
        <v>0</v>
      </c>
      <c r="Z306" s="1097">
        <v>0</v>
      </c>
      <c r="AA306" s="1096">
        <v>0</v>
      </c>
      <c r="AB306" s="1096">
        <v>0</v>
      </c>
      <c r="AC306" s="1096">
        <v>0</v>
      </c>
      <c r="AD306" s="1096">
        <v>0</v>
      </c>
      <c r="AE306" s="1096">
        <v>0</v>
      </c>
      <c r="AF306" s="1096">
        <v>0</v>
      </c>
      <c r="AG306" s="1096">
        <v>0</v>
      </c>
      <c r="AH306" s="1096">
        <v>0</v>
      </c>
      <c r="AI306" s="1096">
        <v>0</v>
      </c>
      <c r="AJ306" s="1096">
        <v>0</v>
      </c>
      <c r="AK306" s="1096">
        <v>0</v>
      </c>
      <c r="AL306" s="1096">
        <v>0</v>
      </c>
      <c r="AM306" s="1096">
        <v>0</v>
      </c>
      <c r="AN306" s="1096">
        <v>0</v>
      </c>
      <c r="AO306" s="1096">
        <v>0</v>
      </c>
      <c r="AP306" s="1096">
        <v>0</v>
      </c>
      <c r="AQ306" s="1096">
        <v>0</v>
      </c>
      <c r="AR306" s="1096">
        <v>0</v>
      </c>
      <c r="AS306" s="1096">
        <v>0</v>
      </c>
      <c r="AT306" s="1096">
        <v>0</v>
      </c>
      <c r="AU306" s="1096">
        <v>0</v>
      </c>
    </row>
    <row r="307" spans="1:47" s="1077" customFormat="1" ht="45" x14ac:dyDescent="0.25">
      <c r="A307" s="99">
        <v>654</v>
      </c>
      <c r="B307" s="1116"/>
      <c r="C307" s="1116">
        <v>654</v>
      </c>
      <c r="D307" s="1117" t="s">
        <v>539</v>
      </c>
      <c r="E307" s="1091">
        <v>0</v>
      </c>
      <c r="F307" s="1071">
        <v>0</v>
      </c>
      <c r="G307" s="1071">
        <v>0</v>
      </c>
      <c r="H307" s="1071">
        <v>0</v>
      </c>
      <c r="I307" s="1071">
        <v>0</v>
      </c>
      <c r="J307" s="1072">
        <v>0</v>
      </c>
      <c r="K307" s="1096">
        <v>0</v>
      </c>
      <c r="L307" s="1097">
        <v>0</v>
      </c>
      <c r="M307" s="1097">
        <v>0</v>
      </c>
      <c r="N307" s="1097">
        <v>0</v>
      </c>
      <c r="O307" s="1097">
        <v>0</v>
      </c>
      <c r="P307" s="1097">
        <v>0</v>
      </c>
      <c r="Q307" s="1097">
        <v>0</v>
      </c>
      <c r="R307" s="1097">
        <v>0</v>
      </c>
      <c r="S307" s="1097">
        <v>0</v>
      </c>
      <c r="T307" s="1097">
        <v>0</v>
      </c>
      <c r="U307" s="1097">
        <v>0</v>
      </c>
      <c r="V307" s="1097">
        <v>0</v>
      </c>
      <c r="W307" s="1097">
        <v>0</v>
      </c>
      <c r="X307" s="1097">
        <v>0</v>
      </c>
      <c r="Y307" s="1097">
        <v>0</v>
      </c>
      <c r="Z307" s="1097">
        <v>0</v>
      </c>
      <c r="AA307" s="1096">
        <v>0</v>
      </c>
      <c r="AB307" s="1096">
        <v>0</v>
      </c>
      <c r="AC307" s="1096">
        <v>0</v>
      </c>
      <c r="AD307" s="1096">
        <v>0</v>
      </c>
      <c r="AE307" s="1096">
        <v>0</v>
      </c>
      <c r="AF307" s="1096">
        <v>0</v>
      </c>
      <c r="AG307" s="1096">
        <v>0</v>
      </c>
      <c r="AH307" s="1096">
        <v>0</v>
      </c>
      <c r="AI307" s="1096">
        <v>0</v>
      </c>
      <c r="AJ307" s="1096">
        <v>0</v>
      </c>
      <c r="AK307" s="1096">
        <v>0</v>
      </c>
      <c r="AL307" s="1096">
        <v>0</v>
      </c>
      <c r="AM307" s="1096">
        <v>0</v>
      </c>
      <c r="AN307" s="1096">
        <v>0</v>
      </c>
      <c r="AO307" s="1096">
        <v>0</v>
      </c>
      <c r="AP307" s="1096">
        <v>0</v>
      </c>
      <c r="AQ307" s="1096">
        <v>0</v>
      </c>
      <c r="AR307" s="1096">
        <v>0</v>
      </c>
      <c r="AS307" s="1096">
        <v>0</v>
      </c>
      <c r="AT307" s="1096">
        <v>0</v>
      </c>
      <c r="AU307" s="1096">
        <v>0</v>
      </c>
    </row>
    <row r="308" spans="1:47" s="1077" customFormat="1" ht="45" x14ac:dyDescent="0.25">
      <c r="A308" s="99">
        <v>655</v>
      </c>
      <c r="B308" s="1116"/>
      <c r="C308" s="1116">
        <v>655</v>
      </c>
      <c r="D308" s="1117" t="s">
        <v>585</v>
      </c>
      <c r="E308" s="1091">
        <v>0</v>
      </c>
      <c r="F308" s="1071">
        <v>0</v>
      </c>
      <c r="G308" s="1071">
        <v>0</v>
      </c>
      <c r="H308" s="1071">
        <v>0</v>
      </c>
      <c r="I308" s="1071">
        <v>0</v>
      </c>
      <c r="J308" s="1072">
        <v>0</v>
      </c>
      <c r="K308" s="1096">
        <v>0</v>
      </c>
      <c r="L308" s="1097">
        <v>0</v>
      </c>
      <c r="M308" s="1097">
        <v>0</v>
      </c>
      <c r="N308" s="1097">
        <v>0</v>
      </c>
      <c r="O308" s="1097">
        <v>0</v>
      </c>
      <c r="P308" s="1097">
        <v>0</v>
      </c>
      <c r="Q308" s="1097">
        <v>0</v>
      </c>
      <c r="R308" s="1097">
        <v>0</v>
      </c>
      <c r="S308" s="1097">
        <v>0</v>
      </c>
      <c r="T308" s="1097">
        <v>0</v>
      </c>
      <c r="U308" s="1097">
        <v>0</v>
      </c>
      <c r="V308" s="1097">
        <v>0</v>
      </c>
      <c r="W308" s="1097">
        <v>0</v>
      </c>
      <c r="X308" s="1097">
        <v>0</v>
      </c>
      <c r="Y308" s="1097">
        <v>0</v>
      </c>
      <c r="Z308" s="1097">
        <v>0</v>
      </c>
      <c r="AA308" s="1096">
        <v>0</v>
      </c>
      <c r="AB308" s="1096">
        <v>0</v>
      </c>
      <c r="AC308" s="1096">
        <v>0</v>
      </c>
      <c r="AD308" s="1096">
        <v>0</v>
      </c>
      <c r="AE308" s="1096">
        <v>0</v>
      </c>
      <c r="AF308" s="1096">
        <v>0</v>
      </c>
      <c r="AG308" s="1096">
        <v>0</v>
      </c>
      <c r="AH308" s="1096">
        <v>0</v>
      </c>
      <c r="AI308" s="1096">
        <v>0</v>
      </c>
      <c r="AJ308" s="1096">
        <v>0</v>
      </c>
      <c r="AK308" s="1096">
        <v>0</v>
      </c>
      <c r="AL308" s="1096">
        <v>0</v>
      </c>
      <c r="AM308" s="1096">
        <v>0</v>
      </c>
      <c r="AN308" s="1096">
        <v>0</v>
      </c>
      <c r="AO308" s="1096">
        <v>0</v>
      </c>
      <c r="AP308" s="1096">
        <v>0</v>
      </c>
      <c r="AQ308" s="1096">
        <v>0</v>
      </c>
      <c r="AR308" s="1096">
        <v>0</v>
      </c>
      <c r="AS308" s="1096">
        <v>0</v>
      </c>
      <c r="AT308" s="1096">
        <v>0</v>
      </c>
      <c r="AU308" s="1096">
        <v>0</v>
      </c>
    </row>
    <row r="309" spans="1:47" s="1077" customFormat="1" ht="45" x14ac:dyDescent="0.25">
      <c r="A309" s="99">
        <v>656</v>
      </c>
      <c r="B309" s="1116"/>
      <c r="C309" s="1116">
        <v>656</v>
      </c>
      <c r="D309" s="1117" t="s">
        <v>547</v>
      </c>
      <c r="E309" s="1091">
        <v>0</v>
      </c>
      <c r="F309" s="1071">
        <v>0</v>
      </c>
      <c r="G309" s="1071">
        <v>0</v>
      </c>
      <c r="H309" s="1071">
        <v>0</v>
      </c>
      <c r="I309" s="1071">
        <v>0</v>
      </c>
      <c r="J309" s="1072">
        <v>0</v>
      </c>
      <c r="K309" s="1096">
        <v>0</v>
      </c>
      <c r="L309" s="1097">
        <v>0</v>
      </c>
      <c r="M309" s="1097">
        <v>0</v>
      </c>
      <c r="N309" s="1097">
        <v>0</v>
      </c>
      <c r="O309" s="1097">
        <v>0</v>
      </c>
      <c r="P309" s="1097">
        <v>0</v>
      </c>
      <c r="Q309" s="1097">
        <v>0</v>
      </c>
      <c r="R309" s="1097">
        <v>0</v>
      </c>
      <c r="S309" s="1097">
        <v>0</v>
      </c>
      <c r="T309" s="1097">
        <v>0</v>
      </c>
      <c r="U309" s="1097">
        <v>0</v>
      </c>
      <c r="V309" s="1097">
        <v>0</v>
      </c>
      <c r="W309" s="1097">
        <v>0</v>
      </c>
      <c r="X309" s="1097">
        <v>0</v>
      </c>
      <c r="Y309" s="1097">
        <v>0</v>
      </c>
      <c r="Z309" s="1097">
        <v>0</v>
      </c>
      <c r="AA309" s="1096">
        <v>0</v>
      </c>
      <c r="AB309" s="1096">
        <v>0</v>
      </c>
      <c r="AC309" s="1096">
        <v>0</v>
      </c>
      <c r="AD309" s="1096">
        <v>0</v>
      </c>
      <c r="AE309" s="1096">
        <v>0</v>
      </c>
      <c r="AF309" s="1096">
        <v>0</v>
      </c>
      <c r="AG309" s="1096">
        <v>0</v>
      </c>
      <c r="AH309" s="1096">
        <v>0</v>
      </c>
      <c r="AI309" s="1096">
        <v>0</v>
      </c>
      <c r="AJ309" s="1096">
        <v>0</v>
      </c>
      <c r="AK309" s="1096">
        <v>0</v>
      </c>
      <c r="AL309" s="1096">
        <v>0</v>
      </c>
      <c r="AM309" s="1096">
        <v>0</v>
      </c>
      <c r="AN309" s="1096">
        <v>0</v>
      </c>
      <c r="AO309" s="1096">
        <v>0</v>
      </c>
      <c r="AP309" s="1096">
        <v>0</v>
      </c>
      <c r="AQ309" s="1096">
        <v>0</v>
      </c>
      <c r="AR309" s="1096">
        <v>0</v>
      </c>
      <c r="AS309" s="1096">
        <v>0</v>
      </c>
      <c r="AT309" s="1096">
        <v>0</v>
      </c>
      <c r="AU309" s="1096">
        <v>0</v>
      </c>
    </row>
    <row r="310" spans="1:47" s="1077" customFormat="1" ht="45" x14ac:dyDescent="0.25">
      <c r="A310" s="99">
        <v>657</v>
      </c>
      <c r="B310" s="1116"/>
      <c r="C310" s="1116">
        <v>657</v>
      </c>
      <c r="D310" s="1117" t="s">
        <v>544</v>
      </c>
      <c r="E310" s="1091">
        <v>0</v>
      </c>
      <c r="F310" s="1071">
        <v>0</v>
      </c>
      <c r="G310" s="1071">
        <v>0</v>
      </c>
      <c r="H310" s="1071">
        <v>0</v>
      </c>
      <c r="I310" s="1071">
        <v>0</v>
      </c>
      <c r="J310" s="1072">
        <v>0</v>
      </c>
      <c r="K310" s="1096">
        <v>0</v>
      </c>
      <c r="L310" s="1097">
        <v>0</v>
      </c>
      <c r="M310" s="1097">
        <v>0</v>
      </c>
      <c r="N310" s="1097">
        <v>0</v>
      </c>
      <c r="O310" s="1097">
        <v>0</v>
      </c>
      <c r="P310" s="1097">
        <v>0</v>
      </c>
      <c r="Q310" s="1097">
        <v>0</v>
      </c>
      <c r="R310" s="1097">
        <v>0</v>
      </c>
      <c r="S310" s="1097">
        <v>0</v>
      </c>
      <c r="T310" s="1097">
        <v>0</v>
      </c>
      <c r="U310" s="1097">
        <v>0</v>
      </c>
      <c r="V310" s="1097">
        <v>0</v>
      </c>
      <c r="W310" s="1097">
        <v>0</v>
      </c>
      <c r="X310" s="1097">
        <v>0</v>
      </c>
      <c r="Y310" s="1097">
        <v>0</v>
      </c>
      <c r="Z310" s="1097">
        <v>0</v>
      </c>
      <c r="AA310" s="1096">
        <v>0</v>
      </c>
      <c r="AB310" s="1096">
        <v>0</v>
      </c>
      <c r="AC310" s="1096">
        <v>0</v>
      </c>
      <c r="AD310" s="1096">
        <v>0</v>
      </c>
      <c r="AE310" s="1096">
        <v>0</v>
      </c>
      <c r="AF310" s="1096">
        <v>0</v>
      </c>
      <c r="AG310" s="1096">
        <v>0</v>
      </c>
      <c r="AH310" s="1096">
        <v>0</v>
      </c>
      <c r="AI310" s="1096">
        <v>0</v>
      </c>
      <c r="AJ310" s="1096">
        <v>0</v>
      </c>
      <c r="AK310" s="1096">
        <v>0</v>
      </c>
      <c r="AL310" s="1096">
        <v>0</v>
      </c>
      <c r="AM310" s="1096">
        <v>0</v>
      </c>
      <c r="AN310" s="1096">
        <v>0</v>
      </c>
      <c r="AO310" s="1096">
        <v>0</v>
      </c>
      <c r="AP310" s="1096">
        <v>0</v>
      </c>
      <c r="AQ310" s="1096">
        <v>0</v>
      </c>
      <c r="AR310" s="1096">
        <v>0</v>
      </c>
      <c r="AS310" s="1096">
        <v>0</v>
      </c>
      <c r="AT310" s="1096">
        <v>0</v>
      </c>
      <c r="AU310" s="1096">
        <v>0</v>
      </c>
    </row>
    <row r="311" spans="1:47" s="1077" customFormat="1" ht="60" x14ac:dyDescent="0.25">
      <c r="A311" s="99">
        <v>658</v>
      </c>
      <c r="B311" s="1116"/>
      <c r="C311" s="1116">
        <v>658</v>
      </c>
      <c r="D311" s="1117" t="s">
        <v>584</v>
      </c>
      <c r="E311" s="1091">
        <v>0</v>
      </c>
      <c r="F311" s="1071">
        <v>0</v>
      </c>
      <c r="G311" s="1071">
        <v>0</v>
      </c>
      <c r="H311" s="1071">
        <v>0</v>
      </c>
      <c r="I311" s="1071">
        <v>0</v>
      </c>
      <c r="J311" s="1072">
        <v>0</v>
      </c>
      <c r="K311" s="1096">
        <v>0</v>
      </c>
      <c r="L311" s="1097">
        <v>0</v>
      </c>
      <c r="M311" s="1097">
        <v>0</v>
      </c>
      <c r="N311" s="1097">
        <v>0</v>
      </c>
      <c r="O311" s="1097">
        <v>0</v>
      </c>
      <c r="P311" s="1097">
        <v>0</v>
      </c>
      <c r="Q311" s="1097">
        <v>0</v>
      </c>
      <c r="R311" s="1097">
        <v>0</v>
      </c>
      <c r="S311" s="1097">
        <v>0</v>
      </c>
      <c r="T311" s="1097">
        <v>0</v>
      </c>
      <c r="U311" s="1097">
        <v>0</v>
      </c>
      <c r="V311" s="1097">
        <v>0</v>
      </c>
      <c r="W311" s="1097">
        <v>0</v>
      </c>
      <c r="X311" s="1097">
        <v>0</v>
      </c>
      <c r="Y311" s="1097">
        <v>0</v>
      </c>
      <c r="Z311" s="1097">
        <v>0</v>
      </c>
      <c r="AA311" s="1096">
        <v>0</v>
      </c>
      <c r="AB311" s="1096">
        <v>0</v>
      </c>
      <c r="AC311" s="1096">
        <v>0</v>
      </c>
      <c r="AD311" s="1096">
        <v>0</v>
      </c>
      <c r="AE311" s="1096">
        <v>0</v>
      </c>
      <c r="AF311" s="1096">
        <v>0</v>
      </c>
      <c r="AG311" s="1096">
        <v>0</v>
      </c>
      <c r="AH311" s="1096">
        <v>0</v>
      </c>
      <c r="AI311" s="1096">
        <v>0</v>
      </c>
      <c r="AJ311" s="1096">
        <v>0</v>
      </c>
      <c r="AK311" s="1096">
        <v>0</v>
      </c>
      <c r="AL311" s="1096">
        <v>0</v>
      </c>
      <c r="AM311" s="1096">
        <v>0</v>
      </c>
      <c r="AN311" s="1096">
        <v>0</v>
      </c>
      <c r="AO311" s="1096">
        <v>0</v>
      </c>
      <c r="AP311" s="1096">
        <v>0</v>
      </c>
      <c r="AQ311" s="1096">
        <v>0</v>
      </c>
      <c r="AR311" s="1096">
        <v>0</v>
      </c>
      <c r="AS311" s="1096">
        <v>0</v>
      </c>
      <c r="AT311" s="1096">
        <v>0</v>
      </c>
      <c r="AU311" s="1096">
        <v>0</v>
      </c>
    </row>
    <row r="312" spans="1:47" s="1077" customFormat="1" ht="60" x14ac:dyDescent="0.25">
      <c r="A312" s="99">
        <v>659</v>
      </c>
      <c r="B312" s="1116">
        <v>659</v>
      </c>
      <c r="C312" s="1116">
        <v>659</v>
      </c>
      <c r="D312" s="1117" t="s">
        <v>542</v>
      </c>
      <c r="E312" s="1091">
        <v>0</v>
      </c>
      <c r="F312" s="1071">
        <v>0</v>
      </c>
      <c r="G312" s="1071">
        <v>0</v>
      </c>
      <c r="H312" s="1071">
        <v>0</v>
      </c>
      <c r="I312" s="1071">
        <v>0</v>
      </c>
      <c r="J312" s="1072">
        <v>0</v>
      </c>
      <c r="K312" s="1096">
        <v>1836088</v>
      </c>
      <c r="L312" s="1097">
        <v>0</v>
      </c>
      <c r="M312" s="1097">
        <v>0</v>
      </c>
      <c r="N312" s="1097">
        <v>0</v>
      </c>
      <c r="O312" s="1097">
        <v>1005825</v>
      </c>
      <c r="P312" s="1097">
        <v>0</v>
      </c>
      <c r="Q312" s="1097">
        <v>0</v>
      </c>
      <c r="R312" s="1097">
        <v>0</v>
      </c>
      <c r="S312" s="1097">
        <v>0</v>
      </c>
      <c r="T312" s="1097">
        <v>0</v>
      </c>
      <c r="U312" s="1097">
        <v>0</v>
      </c>
      <c r="V312" s="1097">
        <v>0</v>
      </c>
      <c r="W312" s="1097">
        <v>3187779</v>
      </c>
      <c r="X312" s="1097">
        <v>0</v>
      </c>
      <c r="Y312" s="1097">
        <v>0</v>
      </c>
      <c r="Z312" s="1097">
        <v>0</v>
      </c>
      <c r="AA312" s="1096">
        <v>0</v>
      </c>
      <c r="AB312" s="1096">
        <v>0</v>
      </c>
      <c r="AC312" s="1096">
        <v>0</v>
      </c>
      <c r="AD312" s="1096">
        <v>0</v>
      </c>
      <c r="AE312" s="1096">
        <v>0</v>
      </c>
      <c r="AF312" s="1096">
        <v>58924709</v>
      </c>
      <c r="AG312" s="1096">
        <v>0</v>
      </c>
      <c r="AH312" s="1096">
        <v>0</v>
      </c>
      <c r="AI312" s="1096">
        <v>0</v>
      </c>
      <c r="AJ312" s="1096">
        <v>0</v>
      </c>
      <c r="AK312" s="1096">
        <v>0</v>
      </c>
      <c r="AL312" s="1096">
        <v>3353229</v>
      </c>
      <c r="AM312" s="1096">
        <v>0</v>
      </c>
      <c r="AN312" s="1096">
        <v>0</v>
      </c>
      <c r="AO312" s="1096">
        <v>0</v>
      </c>
      <c r="AP312" s="1096">
        <v>0</v>
      </c>
      <c r="AQ312" s="1096">
        <v>0</v>
      </c>
      <c r="AR312" s="1096">
        <v>0</v>
      </c>
      <c r="AS312" s="1096">
        <v>0</v>
      </c>
      <c r="AT312" s="1096">
        <v>0</v>
      </c>
      <c r="AU312" s="1096">
        <v>0</v>
      </c>
    </row>
    <row r="313" spans="1:47" s="1077" customFormat="1" ht="45" x14ac:dyDescent="0.25">
      <c r="A313" s="99">
        <v>660</v>
      </c>
      <c r="B313" s="1116">
        <v>660</v>
      </c>
      <c r="C313" s="1116">
        <v>660</v>
      </c>
      <c r="D313" s="1117" t="s">
        <v>543</v>
      </c>
      <c r="E313" s="1091">
        <v>0</v>
      </c>
      <c r="F313" s="1071">
        <v>0</v>
      </c>
      <c r="G313" s="1071">
        <v>0</v>
      </c>
      <c r="H313" s="1071">
        <v>0</v>
      </c>
      <c r="I313" s="1071">
        <v>0</v>
      </c>
      <c r="J313" s="1072">
        <v>0</v>
      </c>
      <c r="K313" s="1096">
        <v>0</v>
      </c>
      <c r="L313" s="1097">
        <v>0</v>
      </c>
      <c r="M313" s="1097">
        <v>0</v>
      </c>
      <c r="N313" s="1097">
        <v>0</v>
      </c>
      <c r="O313" s="1097">
        <v>0</v>
      </c>
      <c r="P313" s="1097">
        <v>0</v>
      </c>
      <c r="Q313" s="1097">
        <v>0</v>
      </c>
      <c r="R313" s="1097">
        <v>0</v>
      </c>
      <c r="S313" s="1097">
        <v>0</v>
      </c>
      <c r="T313" s="1097">
        <v>0</v>
      </c>
      <c r="U313" s="1097">
        <v>0</v>
      </c>
      <c r="V313" s="1097">
        <v>0</v>
      </c>
      <c r="W313" s="1097">
        <v>4381120</v>
      </c>
      <c r="X313" s="1097">
        <v>0</v>
      </c>
      <c r="Y313" s="1097">
        <v>0</v>
      </c>
      <c r="Z313" s="1097">
        <v>0</v>
      </c>
      <c r="AA313" s="1096">
        <v>0</v>
      </c>
      <c r="AB313" s="1096">
        <v>0</v>
      </c>
      <c r="AC313" s="1096">
        <v>0</v>
      </c>
      <c r="AD313" s="1096">
        <v>0</v>
      </c>
      <c r="AE313" s="1096">
        <v>0</v>
      </c>
      <c r="AF313" s="1096">
        <v>0</v>
      </c>
      <c r="AG313" s="1096">
        <v>0</v>
      </c>
      <c r="AH313" s="1096">
        <v>0</v>
      </c>
      <c r="AI313" s="1096">
        <v>0</v>
      </c>
      <c r="AJ313" s="1096">
        <v>0</v>
      </c>
      <c r="AK313" s="1096">
        <v>0</v>
      </c>
      <c r="AL313" s="1096">
        <v>0</v>
      </c>
      <c r="AM313" s="1096">
        <v>0</v>
      </c>
      <c r="AN313" s="1096">
        <v>0</v>
      </c>
      <c r="AO313" s="1096">
        <v>0</v>
      </c>
      <c r="AP313" s="1096">
        <v>0</v>
      </c>
      <c r="AQ313" s="1096">
        <v>0</v>
      </c>
      <c r="AR313" s="1096">
        <v>0</v>
      </c>
      <c r="AS313" s="1096">
        <v>0</v>
      </c>
      <c r="AT313" s="1096">
        <v>0</v>
      </c>
      <c r="AU313" s="1096">
        <v>0</v>
      </c>
    </row>
    <row r="314" spans="1:47" s="1077" customFormat="1" ht="30" x14ac:dyDescent="0.25">
      <c r="A314" s="99">
        <v>661</v>
      </c>
      <c r="B314" s="1116">
        <v>661</v>
      </c>
      <c r="C314" s="1116">
        <v>661</v>
      </c>
      <c r="D314" s="1117" t="s">
        <v>546</v>
      </c>
      <c r="E314" s="1091">
        <v>0</v>
      </c>
      <c r="F314" s="1071">
        <v>0</v>
      </c>
      <c r="G314" s="1071">
        <v>0</v>
      </c>
      <c r="H314" s="1071">
        <v>0</v>
      </c>
      <c r="I314" s="1071">
        <v>0</v>
      </c>
      <c r="J314" s="1072">
        <v>0</v>
      </c>
      <c r="K314" s="1096">
        <v>0</v>
      </c>
      <c r="L314" s="1097">
        <v>0</v>
      </c>
      <c r="M314" s="1097">
        <v>0</v>
      </c>
      <c r="N314" s="1097">
        <v>0</v>
      </c>
      <c r="O314" s="1097">
        <v>0</v>
      </c>
      <c r="P314" s="1097">
        <v>0</v>
      </c>
      <c r="Q314" s="1097">
        <v>0</v>
      </c>
      <c r="R314" s="1097">
        <v>0</v>
      </c>
      <c r="S314" s="1097">
        <v>0</v>
      </c>
      <c r="T314" s="1097">
        <v>0</v>
      </c>
      <c r="U314" s="1097">
        <v>0</v>
      </c>
      <c r="V314" s="1097">
        <v>0</v>
      </c>
      <c r="W314" s="1097">
        <v>137</v>
      </c>
      <c r="X314" s="1097">
        <v>0</v>
      </c>
      <c r="Y314" s="1097">
        <v>0</v>
      </c>
      <c r="Z314" s="1097">
        <v>0</v>
      </c>
      <c r="AA314" s="1096">
        <v>0</v>
      </c>
      <c r="AB314" s="1096">
        <v>0</v>
      </c>
      <c r="AC314" s="1096">
        <v>0</v>
      </c>
      <c r="AD314" s="1096">
        <v>0</v>
      </c>
      <c r="AE314" s="1096">
        <v>0</v>
      </c>
      <c r="AF314" s="1096">
        <v>0</v>
      </c>
      <c r="AG314" s="1096">
        <v>0</v>
      </c>
      <c r="AH314" s="1096">
        <v>0</v>
      </c>
      <c r="AI314" s="1096">
        <v>0</v>
      </c>
      <c r="AJ314" s="1096">
        <v>0</v>
      </c>
      <c r="AK314" s="1096">
        <v>0</v>
      </c>
      <c r="AL314" s="1096">
        <v>0</v>
      </c>
      <c r="AM314" s="1096">
        <v>0</v>
      </c>
      <c r="AN314" s="1096">
        <v>0</v>
      </c>
      <c r="AO314" s="1096">
        <v>0</v>
      </c>
      <c r="AP314" s="1096">
        <v>0</v>
      </c>
      <c r="AQ314" s="1096">
        <v>0</v>
      </c>
      <c r="AR314" s="1096">
        <v>0</v>
      </c>
      <c r="AS314" s="1096">
        <v>0</v>
      </c>
      <c r="AT314" s="1096">
        <v>0</v>
      </c>
      <c r="AU314" s="1096">
        <v>0</v>
      </c>
    </row>
    <row r="315" spans="1:47" s="1077" customFormat="1" ht="30" x14ac:dyDescent="0.25">
      <c r="A315" s="99">
        <v>662</v>
      </c>
      <c r="B315" s="1116">
        <v>662</v>
      </c>
      <c r="C315" s="1116">
        <v>662</v>
      </c>
      <c r="D315" s="1117" t="s">
        <v>588</v>
      </c>
      <c r="E315" s="1091">
        <v>0</v>
      </c>
      <c r="F315" s="1071">
        <v>0</v>
      </c>
      <c r="G315" s="1071">
        <v>0</v>
      </c>
      <c r="H315" s="1071">
        <v>0</v>
      </c>
      <c r="I315" s="1071">
        <v>0</v>
      </c>
      <c r="J315" s="1072">
        <v>0</v>
      </c>
      <c r="K315" s="1096">
        <v>0</v>
      </c>
      <c r="L315" s="1097">
        <v>0</v>
      </c>
      <c r="M315" s="1097">
        <v>0</v>
      </c>
      <c r="N315" s="1097">
        <v>0</v>
      </c>
      <c r="O315" s="1097">
        <v>0</v>
      </c>
      <c r="P315" s="1097">
        <v>0</v>
      </c>
      <c r="Q315" s="1097">
        <v>0</v>
      </c>
      <c r="R315" s="1097">
        <v>0</v>
      </c>
      <c r="S315" s="1097">
        <v>0</v>
      </c>
      <c r="T315" s="1097">
        <v>0</v>
      </c>
      <c r="U315" s="1097">
        <v>0</v>
      </c>
      <c r="V315" s="1097">
        <v>0</v>
      </c>
      <c r="W315" s="1097">
        <v>0</v>
      </c>
      <c r="X315" s="1097">
        <v>0</v>
      </c>
      <c r="Y315" s="1097">
        <v>97553</v>
      </c>
      <c r="Z315" s="1097">
        <v>0</v>
      </c>
      <c r="AA315" s="1096">
        <v>0</v>
      </c>
      <c r="AB315" s="1096">
        <v>0</v>
      </c>
      <c r="AC315" s="1096">
        <v>0</v>
      </c>
      <c r="AD315" s="1096">
        <v>0</v>
      </c>
      <c r="AE315" s="1096">
        <v>0</v>
      </c>
      <c r="AF315" s="1096">
        <v>800000</v>
      </c>
      <c r="AG315" s="1096">
        <v>0</v>
      </c>
      <c r="AH315" s="1096">
        <v>0</v>
      </c>
      <c r="AI315" s="1096">
        <v>0</v>
      </c>
      <c r="AJ315" s="1096">
        <v>0</v>
      </c>
      <c r="AK315" s="1096">
        <v>0</v>
      </c>
      <c r="AL315" s="1096">
        <v>0</v>
      </c>
      <c r="AM315" s="1096">
        <v>0</v>
      </c>
      <c r="AN315" s="1096">
        <v>0</v>
      </c>
      <c r="AO315" s="1096">
        <v>0</v>
      </c>
      <c r="AP315" s="1096">
        <v>0</v>
      </c>
      <c r="AQ315" s="1096">
        <v>0</v>
      </c>
      <c r="AR315" s="1096">
        <v>0</v>
      </c>
      <c r="AS315" s="1096">
        <v>0</v>
      </c>
      <c r="AT315" s="1096">
        <v>0</v>
      </c>
      <c r="AU315" s="1096">
        <v>0</v>
      </c>
    </row>
    <row r="316" spans="1:47" s="1077" customFormat="1" ht="30" x14ac:dyDescent="0.25">
      <c r="A316" s="99">
        <v>663</v>
      </c>
      <c r="B316" s="1116">
        <v>663</v>
      </c>
      <c r="C316" s="1116">
        <v>663</v>
      </c>
      <c r="D316" s="1117" t="s">
        <v>589</v>
      </c>
      <c r="E316" s="1091">
        <v>146795</v>
      </c>
      <c r="F316" s="1071">
        <v>0</v>
      </c>
      <c r="G316" s="1071">
        <v>0</v>
      </c>
      <c r="H316" s="1071">
        <v>713351</v>
      </c>
      <c r="I316" s="1071">
        <v>0</v>
      </c>
      <c r="J316" s="1072">
        <v>0</v>
      </c>
      <c r="K316" s="1096">
        <v>0</v>
      </c>
      <c r="L316" s="1097">
        <v>0</v>
      </c>
      <c r="M316" s="1097">
        <v>0</v>
      </c>
      <c r="N316" s="1097">
        <v>0</v>
      </c>
      <c r="O316" s="1097">
        <v>0</v>
      </c>
      <c r="P316" s="1097">
        <v>0</v>
      </c>
      <c r="Q316" s="1097">
        <v>0</v>
      </c>
      <c r="R316" s="1097">
        <v>0</v>
      </c>
      <c r="S316" s="1097">
        <v>0</v>
      </c>
      <c r="T316" s="1097">
        <v>0</v>
      </c>
      <c r="U316" s="1097">
        <v>0</v>
      </c>
      <c r="V316" s="1097">
        <v>0</v>
      </c>
      <c r="W316" s="1097">
        <v>0</v>
      </c>
      <c r="X316" s="1097">
        <v>0</v>
      </c>
      <c r="Y316" s="1097">
        <v>280549</v>
      </c>
      <c r="Z316" s="1097">
        <v>0</v>
      </c>
      <c r="AA316" s="1096">
        <v>0</v>
      </c>
      <c r="AB316" s="1096">
        <v>0</v>
      </c>
      <c r="AC316" s="1096">
        <v>0</v>
      </c>
      <c r="AD316" s="1096">
        <v>0</v>
      </c>
      <c r="AE316" s="1096">
        <v>0</v>
      </c>
      <c r="AF316" s="1096">
        <v>0</v>
      </c>
      <c r="AG316" s="1096">
        <v>0</v>
      </c>
      <c r="AH316" s="1096">
        <v>0</v>
      </c>
      <c r="AI316" s="1096">
        <v>0</v>
      </c>
      <c r="AJ316" s="1096">
        <v>0</v>
      </c>
      <c r="AK316" s="1096">
        <v>0</v>
      </c>
      <c r="AL316" s="1096">
        <v>0</v>
      </c>
      <c r="AM316" s="1096">
        <v>0</v>
      </c>
      <c r="AN316" s="1096">
        <v>0</v>
      </c>
      <c r="AO316" s="1096">
        <v>0</v>
      </c>
      <c r="AP316" s="1096">
        <v>0</v>
      </c>
      <c r="AQ316" s="1096">
        <v>0</v>
      </c>
      <c r="AR316" s="1096">
        <v>0</v>
      </c>
      <c r="AS316" s="1096">
        <v>0</v>
      </c>
      <c r="AT316" s="1096">
        <v>0</v>
      </c>
      <c r="AU316" s="1096">
        <v>0</v>
      </c>
    </row>
    <row r="317" spans="1:47" s="1077" customFormat="1" ht="30" x14ac:dyDescent="0.25">
      <c r="A317" s="99">
        <v>906</v>
      </c>
      <c r="B317" s="1116"/>
      <c r="C317" s="1116" t="s">
        <v>1542</v>
      </c>
      <c r="D317" s="1117" t="s">
        <v>639</v>
      </c>
      <c r="E317" s="1091">
        <v>1</v>
      </c>
      <c r="F317" s="1071">
        <v>1</v>
      </c>
      <c r="G317" s="1071">
        <v>1</v>
      </c>
      <c r="H317" s="1071">
        <v>1</v>
      </c>
      <c r="I317" s="1071">
        <v>1</v>
      </c>
      <c r="J317" s="1072">
        <v>1</v>
      </c>
      <c r="K317" s="1096">
        <v>1</v>
      </c>
      <c r="L317" s="1097">
        <v>0</v>
      </c>
      <c r="M317" s="1097">
        <v>2</v>
      </c>
      <c r="N317" s="1097">
        <v>1</v>
      </c>
      <c r="O317" s="1097">
        <v>1</v>
      </c>
      <c r="P317" s="1097">
        <v>1</v>
      </c>
      <c r="Q317" s="1097">
        <v>1</v>
      </c>
      <c r="R317" s="1097">
        <v>0</v>
      </c>
      <c r="S317" s="1097">
        <v>1</v>
      </c>
      <c r="T317" s="1097">
        <v>0</v>
      </c>
      <c r="U317" s="1097">
        <v>1</v>
      </c>
      <c r="V317" s="1097">
        <v>1</v>
      </c>
      <c r="W317" s="1097">
        <v>1</v>
      </c>
      <c r="X317" s="1097">
        <v>1</v>
      </c>
      <c r="Y317" s="1097">
        <v>1</v>
      </c>
      <c r="Z317" s="1097">
        <v>1</v>
      </c>
      <c r="AA317" s="1096">
        <v>1</v>
      </c>
      <c r="AB317" s="1096">
        <v>0</v>
      </c>
      <c r="AC317" s="1096">
        <v>1</v>
      </c>
      <c r="AD317" s="1096">
        <v>1</v>
      </c>
      <c r="AE317" s="1096">
        <v>1</v>
      </c>
      <c r="AF317" s="1096">
        <v>1</v>
      </c>
      <c r="AG317" s="1096">
        <v>1</v>
      </c>
      <c r="AH317" s="1096">
        <v>1</v>
      </c>
      <c r="AI317" s="1096">
        <v>0</v>
      </c>
      <c r="AJ317" s="1096">
        <v>1</v>
      </c>
      <c r="AK317" s="1096">
        <v>1</v>
      </c>
      <c r="AL317" s="1096">
        <v>1</v>
      </c>
      <c r="AM317" s="1096">
        <v>1</v>
      </c>
      <c r="AN317" s="1096">
        <v>1</v>
      </c>
      <c r="AO317" s="1096">
        <v>1</v>
      </c>
      <c r="AP317" s="1096">
        <v>1</v>
      </c>
      <c r="AQ317" s="1096">
        <v>1</v>
      </c>
      <c r="AR317" s="1096">
        <v>1</v>
      </c>
      <c r="AS317" s="1096">
        <v>1</v>
      </c>
      <c r="AT317" s="1096">
        <v>1</v>
      </c>
      <c r="AU317" s="1096">
        <v>1</v>
      </c>
    </row>
    <row r="318" spans="1:47" s="1077" customFormat="1" ht="30" x14ac:dyDescent="0.25">
      <c r="A318" s="99">
        <v>907</v>
      </c>
      <c r="B318" s="1116"/>
      <c r="C318" s="1116" t="s">
        <v>1542</v>
      </c>
      <c r="D318" s="1117" t="s">
        <v>640</v>
      </c>
      <c r="E318" s="1091">
        <v>2</v>
      </c>
      <c r="F318" s="1071">
        <v>2</v>
      </c>
      <c r="G318" s="1071">
        <v>2</v>
      </c>
      <c r="H318" s="1071">
        <v>2</v>
      </c>
      <c r="I318" s="1071">
        <v>2</v>
      </c>
      <c r="J318" s="1072">
        <v>1</v>
      </c>
      <c r="K318" s="1096">
        <v>2</v>
      </c>
      <c r="L318" s="1097">
        <v>0</v>
      </c>
      <c r="M318" s="1097">
        <v>2</v>
      </c>
      <c r="N318" s="1097">
        <v>2</v>
      </c>
      <c r="O318" s="1097">
        <v>2</v>
      </c>
      <c r="P318" s="1097">
        <v>2</v>
      </c>
      <c r="Q318" s="1097">
        <v>2</v>
      </c>
      <c r="R318" s="1097">
        <v>0</v>
      </c>
      <c r="S318" s="1097">
        <v>1</v>
      </c>
      <c r="T318" s="1097">
        <v>0</v>
      </c>
      <c r="U318" s="1097">
        <v>1</v>
      </c>
      <c r="V318" s="1097">
        <v>2</v>
      </c>
      <c r="W318" s="1097">
        <v>2</v>
      </c>
      <c r="X318" s="1097">
        <v>2</v>
      </c>
      <c r="Y318" s="1097">
        <v>2</v>
      </c>
      <c r="Z318" s="1097">
        <v>2</v>
      </c>
      <c r="AA318" s="1096">
        <v>2</v>
      </c>
      <c r="AB318" s="1096">
        <v>0</v>
      </c>
      <c r="AC318" s="1096">
        <v>2</v>
      </c>
      <c r="AD318" s="1096">
        <v>2</v>
      </c>
      <c r="AE318" s="1096">
        <v>1</v>
      </c>
      <c r="AF318" s="1096">
        <v>2</v>
      </c>
      <c r="AG318" s="1096">
        <v>2</v>
      </c>
      <c r="AH318" s="1096">
        <v>1</v>
      </c>
      <c r="AI318" s="1096">
        <v>0</v>
      </c>
      <c r="AJ318" s="1096">
        <v>2</v>
      </c>
      <c r="AK318" s="1096">
        <v>1</v>
      </c>
      <c r="AL318" s="1096">
        <v>2</v>
      </c>
      <c r="AM318" s="1096">
        <v>2</v>
      </c>
      <c r="AN318" s="1096">
        <v>2</v>
      </c>
      <c r="AO318" s="1096">
        <v>2</v>
      </c>
      <c r="AP318" s="1096">
        <v>2</v>
      </c>
      <c r="AQ318" s="1096">
        <v>2</v>
      </c>
      <c r="AR318" s="1096">
        <v>2</v>
      </c>
      <c r="AS318" s="1096">
        <v>2</v>
      </c>
      <c r="AT318" s="1096">
        <v>1</v>
      </c>
      <c r="AU318" s="1096">
        <v>2</v>
      </c>
    </row>
    <row r="319" spans="1:47" s="1077" customFormat="1" ht="45" x14ac:dyDescent="0.25">
      <c r="A319" s="99">
        <v>951</v>
      </c>
      <c r="B319" s="1116"/>
      <c r="C319" s="1116" t="s">
        <v>1542</v>
      </c>
      <c r="D319" s="1117" t="s">
        <v>641</v>
      </c>
      <c r="E319" s="1091">
        <v>2</v>
      </c>
      <c r="F319" s="1071">
        <v>2</v>
      </c>
      <c r="G319" s="1071">
        <v>2</v>
      </c>
      <c r="H319" s="1071">
        <v>2</v>
      </c>
      <c r="I319" s="1071">
        <v>2</v>
      </c>
      <c r="J319" s="1072">
        <v>2</v>
      </c>
      <c r="K319" s="1096">
        <v>2</v>
      </c>
      <c r="L319" s="1097">
        <v>0</v>
      </c>
      <c r="M319" s="1097">
        <v>2</v>
      </c>
      <c r="N319" s="1097">
        <v>2</v>
      </c>
      <c r="O319" s="1097">
        <v>2</v>
      </c>
      <c r="P319" s="1097">
        <v>2</v>
      </c>
      <c r="Q319" s="1097">
        <v>2</v>
      </c>
      <c r="R319" s="1097">
        <v>0</v>
      </c>
      <c r="S319" s="1097">
        <v>1</v>
      </c>
      <c r="T319" s="1097">
        <v>0</v>
      </c>
      <c r="U319" s="1097">
        <v>2</v>
      </c>
      <c r="V319" s="1097">
        <v>2</v>
      </c>
      <c r="W319" s="1097">
        <v>2</v>
      </c>
      <c r="X319" s="1097">
        <v>2</v>
      </c>
      <c r="Y319" s="1097">
        <v>2</v>
      </c>
      <c r="Z319" s="1097">
        <v>2</v>
      </c>
      <c r="AA319" s="1096">
        <v>2</v>
      </c>
      <c r="AB319" s="1096">
        <v>0</v>
      </c>
      <c r="AC319" s="1096">
        <v>2</v>
      </c>
      <c r="AD319" s="1096">
        <v>2</v>
      </c>
      <c r="AE319" s="1096">
        <v>2</v>
      </c>
      <c r="AF319" s="1096">
        <v>2</v>
      </c>
      <c r="AG319" s="1096">
        <v>2</v>
      </c>
      <c r="AH319" s="1096">
        <v>2</v>
      </c>
      <c r="AI319" s="1096">
        <v>0</v>
      </c>
      <c r="AJ319" s="1096">
        <v>2</v>
      </c>
      <c r="AK319" s="1096">
        <v>2</v>
      </c>
      <c r="AL319" s="1096">
        <v>2</v>
      </c>
      <c r="AM319" s="1096">
        <v>2</v>
      </c>
      <c r="AN319" s="1096">
        <v>2</v>
      </c>
      <c r="AO319" s="1096">
        <v>2</v>
      </c>
      <c r="AP319" s="1096">
        <v>2</v>
      </c>
      <c r="AQ319" s="1096">
        <v>2</v>
      </c>
      <c r="AR319" s="1096">
        <v>2</v>
      </c>
      <c r="AS319" s="1096">
        <v>2</v>
      </c>
      <c r="AT319" s="1096">
        <v>2</v>
      </c>
      <c r="AU319" s="1096">
        <v>2</v>
      </c>
    </row>
    <row r="320" spans="1:47" s="1077" customFormat="1" ht="30" x14ac:dyDescent="0.25">
      <c r="A320" s="99">
        <v>953</v>
      </c>
      <c r="B320" s="1116"/>
      <c r="C320" s="1116" t="s">
        <v>1542</v>
      </c>
      <c r="D320" s="1117" t="s">
        <v>642</v>
      </c>
      <c r="E320" s="1091">
        <v>2</v>
      </c>
      <c r="F320" s="1071">
        <v>2</v>
      </c>
      <c r="G320" s="1071">
        <v>2</v>
      </c>
      <c r="H320" s="1071">
        <v>2</v>
      </c>
      <c r="I320" s="1071">
        <v>2</v>
      </c>
      <c r="J320" s="1072">
        <v>2</v>
      </c>
      <c r="K320" s="1096">
        <v>2</v>
      </c>
      <c r="L320" s="1097">
        <v>0</v>
      </c>
      <c r="M320" s="1097">
        <v>2</v>
      </c>
      <c r="N320" s="1097">
        <v>2</v>
      </c>
      <c r="O320" s="1097">
        <v>2</v>
      </c>
      <c r="P320" s="1097">
        <v>2</v>
      </c>
      <c r="Q320" s="1097">
        <v>2</v>
      </c>
      <c r="R320" s="1097">
        <v>0</v>
      </c>
      <c r="S320" s="1097">
        <v>2</v>
      </c>
      <c r="T320" s="1097">
        <v>0</v>
      </c>
      <c r="U320" s="1097">
        <v>2</v>
      </c>
      <c r="V320" s="1097">
        <v>2</v>
      </c>
      <c r="W320" s="1097">
        <v>2</v>
      </c>
      <c r="X320" s="1097">
        <v>2</v>
      </c>
      <c r="Y320" s="1097">
        <v>2</v>
      </c>
      <c r="Z320" s="1097">
        <v>2</v>
      </c>
      <c r="AA320" s="1096">
        <v>2</v>
      </c>
      <c r="AB320" s="1096">
        <v>0</v>
      </c>
      <c r="AC320" s="1096">
        <v>2</v>
      </c>
      <c r="AD320" s="1096">
        <v>2</v>
      </c>
      <c r="AE320" s="1096">
        <v>2</v>
      </c>
      <c r="AF320" s="1096">
        <v>2</v>
      </c>
      <c r="AG320" s="1096">
        <v>2</v>
      </c>
      <c r="AH320" s="1096">
        <v>2</v>
      </c>
      <c r="AI320" s="1096">
        <v>0</v>
      </c>
      <c r="AJ320" s="1096">
        <v>2</v>
      </c>
      <c r="AK320" s="1096">
        <v>2</v>
      </c>
      <c r="AL320" s="1096">
        <v>2</v>
      </c>
      <c r="AM320" s="1096">
        <v>2</v>
      </c>
      <c r="AN320" s="1096">
        <v>2</v>
      </c>
      <c r="AO320" s="1096">
        <v>2</v>
      </c>
      <c r="AP320" s="1096">
        <v>2</v>
      </c>
      <c r="AQ320" s="1096">
        <v>2</v>
      </c>
      <c r="AR320" s="1096">
        <v>2</v>
      </c>
      <c r="AS320" s="1096">
        <v>2</v>
      </c>
      <c r="AT320" s="1096">
        <v>2</v>
      </c>
      <c r="AU320" s="1096">
        <v>2</v>
      </c>
    </row>
    <row r="321" spans="1:47" s="1077" customFormat="1" ht="30" x14ac:dyDescent="0.25">
      <c r="A321" s="99">
        <v>955</v>
      </c>
      <c r="B321" s="1116"/>
      <c r="C321" s="1116" t="s">
        <v>1542</v>
      </c>
      <c r="D321" s="1117" t="s">
        <v>652</v>
      </c>
      <c r="E321" s="1091">
        <v>0</v>
      </c>
      <c r="F321" s="1071">
        <v>0</v>
      </c>
      <c r="G321" s="1071">
        <v>0</v>
      </c>
      <c r="H321" s="1071">
        <v>0</v>
      </c>
      <c r="I321" s="1071">
        <v>0</v>
      </c>
      <c r="J321" s="1072">
        <v>1</v>
      </c>
      <c r="K321" s="1096">
        <v>0</v>
      </c>
      <c r="L321" s="1097">
        <v>0</v>
      </c>
      <c r="M321" s="1097">
        <v>0</v>
      </c>
      <c r="N321" s="1097">
        <v>0</v>
      </c>
      <c r="O321" s="1097">
        <v>0</v>
      </c>
      <c r="P321" s="1097">
        <v>0</v>
      </c>
      <c r="Q321" s="1097">
        <v>0</v>
      </c>
      <c r="R321" s="1097">
        <v>0</v>
      </c>
      <c r="S321" s="1097">
        <v>1</v>
      </c>
      <c r="T321" s="1097">
        <v>0</v>
      </c>
      <c r="U321" s="1097">
        <v>0</v>
      </c>
      <c r="V321" s="1097">
        <v>0</v>
      </c>
      <c r="W321" s="1097">
        <v>0</v>
      </c>
      <c r="X321" s="1097">
        <v>0</v>
      </c>
      <c r="Y321" s="1097">
        <v>0</v>
      </c>
      <c r="Z321" s="1097">
        <v>0</v>
      </c>
      <c r="AA321" s="1096">
        <v>0</v>
      </c>
      <c r="AB321" s="1096">
        <v>0</v>
      </c>
      <c r="AC321" s="1096">
        <v>0</v>
      </c>
      <c r="AD321" s="1096">
        <v>0</v>
      </c>
      <c r="AE321" s="1096">
        <v>0</v>
      </c>
      <c r="AF321" s="1096">
        <v>0</v>
      </c>
      <c r="AG321" s="1096">
        <v>0</v>
      </c>
      <c r="AH321" s="1096">
        <v>0</v>
      </c>
      <c r="AI321" s="1096">
        <v>0</v>
      </c>
      <c r="AJ321" s="1096">
        <v>0</v>
      </c>
      <c r="AK321" s="1096">
        <v>0</v>
      </c>
      <c r="AL321" s="1096">
        <v>0</v>
      </c>
      <c r="AM321" s="1096">
        <v>0</v>
      </c>
      <c r="AN321" s="1096">
        <v>0</v>
      </c>
      <c r="AO321" s="1096">
        <v>0</v>
      </c>
      <c r="AP321" s="1096">
        <v>0</v>
      </c>
      <c r="AQ321" s="1096">
        <v>0</v>
      </c>
      <c r="AR321" s="1096">
        <v>0</v>
      </c>
      <c r="AS321" s="1096">
        <v>0</v>
      </c>
      <c r="AT321" s="1096">
        <v>0</v>
      </c>
      <c r="AU321" s="1096">
        <v>0</v>
      </c>
    </row>
    <row r="322" spans="1:47" s="1077" customFormat="1" ht="30" x14ac:dyDescent="0.25">
      <c r="A322" s="99">
        <v>957</v>
      </c>
      <c r="B322" s="1116"/>
      <c r="C322" s="1116" t="s">
        <v>1542</v>
      </c>
      <c r="D322" s="1117" t="s">
        <v>653</v>
      </c>
      <c r="E322" s="1091">
        <v>0</v>
      </c>
      <c r="F322" s="1071">
        <v>0</v>
      </c>
      <c r="G322" s="1071">
        <v>0</v>
      </c>
      <c r="H322" s="1071">
        <v>0</v>
      </c>
      <c r="I322" s="1071">
        <v>0</v>
      </c>
      <c r="J322" s="1072">
        <v>0</v>
      </c>
      <c r="K322" s="1096">
        <v>0</v>
      </c>
      <c r="L322" s="1097">
        <v>0</v>
      </c>
      <c r="M322" s="1097">
        <v>0</v>
      </c>
      <c r="N322" s="1097">
        <v>0</v>
      </c>
      <c r="O322" s="1097">
        <v>0</v>
      </c>
      <c r="P322" s="1097">
        <v>0</v>
      </c>
      <c r="Q322" s="1097">
        <v>0</v>
      </c>
      <c r="R322" s="1097">
        <v>0</v>
      </c>
      <c r="S322" s="1097">
        <v>0</v>
      </c>
      <c r="T322" s="1097">
        <v>0</v>
      </c>
      <c r="U322" s="1097">
        <v>0</v>
      </c>
      <c r="V322" s="1097">
        <v>0</v>
      </c>
      <c r="W322" s="1097">
        <v>0</v>
      </c>
      <c r="X322" s="1097">
        <v>0</v>
      </c>
      <c r="Y322" s="1097">
        <v>0</v>
      </c>
      <c r="Z322" s="1097">
        <v>0</v>
      </c>
      <c r="AA322" s="1096">
        <v>0</v>
      </c>
      <c r="AB322" s="1096">
        <v>0</v>
      </c>
      <c r="AC322" s="1096">
        <v>0</v>
      </c>
      <c r="AD322" s="1096">
        <v>0</v>
      </c>
      <c r="AE322" s="1096">
        <v>0</v>
      </c>
      <c r="AF322" s="1096">
        <v>0</v>
      </c>
      <c r="AG322" s="1096">
        <v>0</v>
      </c>
      <c r="AH322" s="1096">
        <v>0</v>
      </c>
      <c r="AI322" s="1096">
        <v>0</v>
      </c>
      <c r="AJ322" s="1096">
        <v>0</v>
      </c>
      <c r="AK322" s="1096">
        <v>0</v>
      </c>
      <c r="AL322" s="1096">
        <v>0</v>
      </c>
      <c r="AM322" s="1096">
        <v>0</v>
      </c>
      <c r="AN322" s="1096">
        <v>0</v>
      </c>
      <c r="AO322" s="1096">
        <v>0</v>
      </c>
      <c r="AP322" s="1096">
        <v>0</v>
      </c>
      <c r="AQ322" s="1096">
        <v>0</v>
      </c>
      <c r="AR322" s="1096">
        <v>0</v>
      </c>
      <c r="AS322" s="1096">
        <v>1</v>
      </c>
      <c r="AT322" s="1096">
        <v>0</v>
      </c>
      <c r="AU322" s="1096">
        <v>0</v>
      </c>
    </row>
    <row r="323" spans="1:47" s="1077" customFormat="1" ht="75" x14ac:dyDescent="0.25">
      <c r="A323" s="99">
        <v>959</v>
      </c>
      <c r="B323" s="1116"/>
      <c r="C323" s="1116" t="s">
        <v>1542</v>
      </c>
      <c r="D323" s="1117" t="s">
        <v>643</v>
      </c>
      <c r="E323" s="1091">
        <v>2</v>
      </c>
      <c r="F323" s="1071">
        <v>3</v>
      </c>
      <c r="G323" s="1071">
        <v>3</v>
      </c>
      <c r="H323" s="1071">
        <v>3</v>
      </c>
      <c r="I323" s="1071">
        <v>3</v>
      </c>
      <c r="J323" s="1072">
        <v>3</v>
      </c>
      <c r="K323" s="1096">
        <v>2</v>
      </c>
      <c r="L323" s="1097">
        <v>0</v>
      </c>
      <c r="M323" s="1097">
        <v>2</v>
      </c>
      <c r="N323" s="1097">
        <v>2</v>
      </c>
      <c r="O323" s="1097">
        <v>3</v>
      </c>
      <c r="P323" s="1097">
        <v>3</v>
      </c>
      <c r="Q323" s="1097">
        <v>2</v>
      </c>
      <c r="R323" s="1097">
        <v>0</v>
      </c>
      <c r="S323" s="1097">
        <v>3</v>
      </c>
      <c r="T323" s="1097">
        <v>0</v>
      </c>
      <c r="U323" s="1097">
        <v>3</v>
      </c>
      <c r="V323" s="1097">
        <v>3</v>
      </c>
      <c r="W323" s="1097">
        <v>2</v>
      </c>
      <c r="X323" s="1097">
        <v>2</v>
      </c>
      <c r="Y323" s="1097">
        <v>3</v>
      </c>
      <c r="Z323" s="1097">
        <v>3</v>
      </c>
      <c r="AA323" s="1096">
        <v>2</v>
      </c>
      <c r="AB323" s="1096">
        <v>0</v>
      </c>
      <c r="AC323" s="1096">
        <v>2</v>
      </c>
      <c r="AD323" s="1096">
        <v>3</v>
      </c>
      <c r="AE323" s="1096">
        <v>3</v>
      </c>
      <c r="AF323" s="1096">
        <v>2</v>
      </c>
      <c r="AG323" s="1096">
        <v>2</v>
      </c>
      <c r="AH323" s="1096">
        <v>3</v>
      </c>
      <c r="AI323" s="1096">
        <v>0</v>
      </c>
      <c r="AJ323" s="1096">
        <v>2</v>
      </c>
      <c r="AK323" s="1096">
        <v>3</v>
      </c>
      <c r="AL323" s="1096">
        <v>3</v>
      </c>
      <c r="AM323" s="1096">
        <v>2</v>
      </c>
      <c r="AN323" s="1096">
        <v>3</v>
      </c>
      <c r="AO323" s="1096">
        <v>3</v>
      </c>
      <c r="AP323" s="1096">
        <v>3</v>
      </c>
      <c r="AQ323" s="1096">
        <v>3</v>
      </c>
      <c r="AR323" s="1096">
        <v>2</v>
      </c>
      <c r="AS323" s="1096">
        <v>2</v>
      </c>
      <c r="AT323" s="1096">
        <v>3</v>
      </c>
      <c r="AU323" s="1096">
        <v>3</v>
      </c>
    </row>
    <row r="324" spans="1:47" s="1077" customFormat="1" ht="75" x14ac:dyDescent="0.25">
      <c r="A324" s="99">
        <v>961</v>
      </c>
      <c r="B324" s="1116"/>
      <c r="C324" s="1116" t="s">
        <v>1542</v>
      </c>
      <c r="D324" s="1117" t="s">
        <v>644</v>
      </c>
      <c r="E324" s="1091">
        <v>3</v>
      </c>
      <c r="F324" s="1071">
        <v>3</v>
      </c>
      <c r="G324" s="1071">
        <v>3</v>
      </c>
      <c r="H324" s="1071">
        <v>3</v>
      </c>
      <c r="I324" s="1071">
        <v>3</v>
      </c>
      <c r="J324" s="1072">
        <v>3</v>
      </c>
      <c r="K324" s="1096">
        <v>2</v>
      </c>
      <c r="L324" s="1097">
        <v>0</v>
      </c>
      <c r="M324" s="1097">
        <v>2</v>
      </c>
      <c r="N324" s="1097">
        <v>2</v>
      </c>
      <c r="O324" s="1097">
        <v>3</v>
      </c>
      <c r="P324" s="1097">
        <v>3</v>
      </c>
      <c r="Q324" s="1097">
        <v>3</v>
      </c>
      <c r="R324" s="1097">
        <v>0</v>
      </c>
      <c r="S324" s="1097">
        <v>3</v>
      </c>
      <c r="T324" s="1097">
        <v>0</v>
      </c>
      <c r="U324" s="1097">
        <v>3</v>
      </c>
      <c r="V324" s="1097">
        <v>3</v>
      </c>
      <c r="W324" s="1097">
        <v>2</v>
      </c>
      <c r="X324" s="1097">
        <v>2</v>
      </c>
      <c r="Y324" s="1097">
        <v>3</v>
      </c>
      <c r="Z324" s="1097">
        <v>3</v>
      </c>
      <c r="AA324" s="1096">
        <v>2</v>
      </c>
      <c r="AB324" s="1096">
        <v>0</v>
      </c>
      <c r="AC324" s="1096">
        <v>3</v>
      </c>
      <c r="AD324" s="1096">
        <v>3</v>
      </c>
      <c r="AE324" s="1096">
        <v>3</v>
      </c>
      <c r="AF324" s="1096">
        <v>2</v>
      </c>
      <c r="AG324" s="1096">
        <v>2</v>
      </c>
      <c r="AH324" s="1096">
        <v>3</v>
      </c>
      <c r="AI324" s="1096">
        <v>0</v>
      </c>
      <c r="AJ324" s="1096">
        <v>2</v>
      </c>
      <c r="AK324" s="1096">
        <v>3</v>
      </c>
      <c r="AL324" s="1096">
        <v>3</v>
      </c>
      <c r="AM324" s="1096">
        <v>2</v>
      </c>
      <c r="AN324" s="1096">
        <v>3</v>
      </c>
      <c r="AO324" s="1096">
        <v>3</v>
      </c>
      <c r="AP324" s="1096">
        <v>3</v>
      </c>
      <c r="AQ324" s="1096">
        <v>3</v>
      </c>
      <c r="AR324" s="1096">
        <v>2</v>
      </c>
      <c r="AS324" s="1096">
        <v>2</v>
      </c>
      <c r="AT324" s="1096">
        <v>3</v>
      </c>
      <c r="AU324" s="1096">
        <v>3</v>
      </c>
    </row>
    <row r="325" spans="1:47" s="1077" customFormat="1" x14ac:dyDescent="0.25">
      <c r="A325" s="99">
        <v>963</v>
      </c>
      <c r="B325" s="1116"/>
      <c r="C325" s="1116" t="s">
        <v>1542</v>
      </c>
      <c r="D325" s="1117" t="s">
        <v>645</v>
      </c>
      <c r="E325" s="1091">
        <v>3</v>
      </c>
      <c r="F325" s="1071">
        <v>3</v>
      </c>
      <c r="G325" s="1071">
        <v>3</v>
      </c>
      <c r="H325" s="1071">
        <v>3</v>
      </c>
      <c r="I325" s="1071">
        <v>3</v>
      </c>
      <c r="J325" s="1072">
        <v>3</v>
      </c>
      <c r="K325" s="1096">
        <v>3</v>
      </c>
      <c r="L325" s="1097">
        <v>0</v>
      </c>
      <c r="M325" s="1097">
        <v>3</v>
      </c>
      <c r="N325" s="1097">
        <v>3</v>
      </c>
      <c r="O325" s="1097">
        <v>3</v>
      </c>
      <c r="P325" s="1097">
        <v>3</v>
      </c>
      <c r="Q325" s="1097">
        <v>3</v>
      </c>
      <c r="R325" s="1097">
        <v>0</v>
      </c>
      <c r="S325" s="1097">
        <v>3</v>
      </c>
      <c r="T325" s="1097">
        <v>0</v>
      </c>
      <c r="U325" s="1097">
        <v>3</v>
      </c>
      <c r="V325" s="1097">
        <v>3</v>
      </c>
      <c r="W325" s="1097">
        <v>1</v>
      </c>
      <c r="X325" s="1097">
        <v>1</v>
      </c>
      <c r="Y325" s="1097">
        <v>3</v>
      </c>
      <c r="Z325" s="1097">
        <v>3</v>
      </c>
      <c r="AA325" s="1096">
        <v>3</v>
      </c>
      <c r="AB325" s="1096">
        <v>0</v>
      </c>
      <c r="AC325" s="1096">
        <v>1</v>
      </c>
      <c r="AD325" s="1096">
        <v>3</v>
      </c>
      <c r="AE325" s="1096">
        <v>3</v>
      </c>
      <c r="AF325" s="1096">
        <v>3</v>
      </c>
      <c r="AG325" s="1096">
        <v>3</v>
      </c>
      <c r="AH325" s="1096">
        <v>3</v>
      </c>
      <c r="AI325" s="1096">
        <v>0</v>
      </c>
      <c r="AJ325" s="1096">
        <v>3</v>
      </c>
      <c r="AK325" s="1096">
        <v>3</v>
      </c>
      <c r="AL325" s="1096">
        <v>3</v>
      </c>
      <c r="AM325" s="1096">
        <v>3</v>
      </c>
      <c r="AN325" s="1096">
        <v>3</v>
      </c>
      <c r="AO325" s="1096">
        <v>3</v>
      </c>
      <c r="AP325" s="1096">
        <v>3</v>
      </c>
      <c r="AQ325" s="1096">
        <v>3</v>
      </c>
      <c r="AR325" s="1096">
        <v>1</v>
      </c>
      <c r="AS325" s="1096">
        <v>3</v>
      </c>
      <c r="AT325" s="1096">
        <v>3</v>
      </c>
      <c r="AU325" s="1096">
        <v>3</v>
      </c>
    </row>
    <row r="326" spans="1:47" s="1077" customFormat="1" ht="30" x14ac:dyDescent="0.25">
      <c r="A326" s="99">
        <v>965</v>
      </c>
      <c r="B326" s="1116"/>
      <c r="C326" s="1116" t="s">
        <v>1542</v>
      </c>
      <c r="D326" s="1117" t="s">
        <v>646</v>
      </c>
      <c r="E326" s="1091">
        <v>1</v>
      </c>
      <c r="F326" s="1071">
        <v>1</v>
      </c>
      <c r="G326" s="1071">
        <v>1</v>
      </c>
      <c r="H326" s="1071">
        <v>1</v>
      </c>
      <c r="I326" s="1071">
        <v>1</v>
      </c>
      <c r="J326" s="1072">
        <v>1</v>
      </c>
      <c r="K326" s="1096">
        <v>1</v>
      </c>
      <c r="L326" s="1097">
        <v>0</v>
      </c>
      <c r="M326" s="1097">
        <v>1</v>
      </c>
      <c r="N326" s="1097">
        <v>1</v>
      </c>
      <c r="O326" s="1097">
        <v>1</v>
      </c>
      <c r="P326" s="1097">
        <v>1</v>
      </c>
      <c r="Q326" s="1097">
        <v>1</v>
      </c>
      <c r="R326" s="1097">
        <v>0</v>
      </c>
      <c r="S326" s="1097">
        <v>1</v>
      </c>
      <c r="T326" s="1097">
        <v>0</v>
      </c>
      <c r="U326" s="1097">
        <v>1</v>
      </c>
      <c r="V326" s="1097">
        <v>1</v>
      </c>
      <c r="W326" s="1097">
        <v>1</v>
      </c>
      <c r="X326" s="1097">
        <v>1</v>
      </c>
      <c r="Y326" s="1097">
        <v>1</v>
      </c>
      <c r="Z326" s="1097">
        <v>1</v>
      </c>
      <c r="AA326" s="1096">
        <v>1</v>
      </c>
      <c r="AB326" s="1096">
        <v>0</v>
      </c>
      <c r="AC326" s="1096">
        <v>1</v>
      </c>
      <c r="AD326" s="1096">
        <v>1</v>
      </c>
      <c r="AE326" s="1096">
        <v>1</v>
      </c>
      <c r="AF326" s="1096">
        <v>1</v>
      </c>
      <c r="AG326" s="1096">
        <v>1</v>
      </c>
      <c r="AH326" s="1096">
        <v>1</v>
      </c>
      <c r="AI326" s="1096">
        <v>0</v>
      </c>
      <c r="AJ326" s="1096">
        <v>1</v>
      </c>
      <c r="AK326" s="1096">
        <v>1</v>
      </c>
      <c r="AL326" s="1096">
        <v>2</v>
      </c>
      <c r="AM326" s="1096">
        <v>1</v>
      </c>
      <c r="AN326" s="1096">
        <v>1</v>
      </c>
      <c r="AO326" s="1096">
        <v>1</v>
      </c>
      <c r="AP326" s="1096">
        <v>1</v>
      </c>
      <c r="AQ326" s="1096">
        <v>1</v>
      </c>
      <c r="AR326" s="1096">
        <v>1</v>
      </c>
      <c r="AS326" s="1096">
        <v>1</v>
      </c>
      <c r="AT326" s="1096">
        <v>1</v>
      </c>
      <c r="AU326" s="1096">
        <v>1</v>
      </c>
    </row>
    <row r="327" spans="1:47" s="1077" customFormat="1" ht="30" x14ac:dyDescent="0.25">
      <c r="A327" s="99">
        <v>603</v>
      </c>
      <c r="B327" s="1116"/>
      <c r="C327" s="1116" t="s">
        <v>1543</v>
      </c>
      <c r="D327" s="1117" t="s">
        <v>651</v>
      </c>
      <c r="E327" s="1091">
        <v>0</v>
      </c>
      <c r="F327" s="1071">
        <v>0</v>
      </c>
      <c r="G327" s="1071">
        <v>0</v>
      </c>
      <c r="H327" s="1071">
        <v>0</v>
      </c>
      <c r="I327" s="1071">
        <v>0</v>
      </c>
      <c r="J327" s="1072">
        <v>0</v>
      </c>
      <c r="K327" s="1096">
        <v>0</v>
      </c>
      <c r="L327" s="1097">
        <v>0</v>
      </c>
      <c r="M327" s="1097">
        <v>1</v>
      </c>
      <c r="N327" s="1097">
        <v>0</v>
      </c>
      <c r="O327" s="1097">
        <v>0</v>
      </c>
      <c r="P327" s="1097">
        <v>0</v>
      </c>
      <c r="Q327" s="1097">
        <v>0</v>
      </c>
      <c r="R327" s="1097">
        <v>0</v>
      </c>
      <c r="S327" s="1097">
        <v>0</v>
      </c>
      <c r="T327" s="1097">
        <v>0</v>
      </c>
      <c r="U327" s="1097">
        <v>0</v>
      </c>
      <c r="V327" s="1097">
        <v>0</v>
      </c>
      <c r="W327" s="1097">
        <v>0</v>
      </c>
      <c r="X327" s="1097">
        <v>0</v>
      </c>
      <c r="Y327" s="1097">
        <v>0</v>
      </c>
      <c r="Z327" s="1097">
        <v>0</v>
      </c>
      <c r="AA327" s="1096">
        <v>0</v>
      </c>
      <c r="AB327" s="1096">
        <v>0</v>
      </c>
      <c r="AC327" s="1096">
        <v>0</v>
      </c>
      <c r="AD327" s="1096">
        <v>0</v>
      </c>
      <c r="AE327" s="1096">
        <v>0</v>
      </c>
      <c r="AF327" s="1096">
        <v>0</v>
      </c>
      <c r="AG327" s="1096">
        <v>0</v>
      </c>
      <c r="AH327" s="1096">
        <v>0</v>
      </c>
      <c r="AI327" s="1096">
        <v>0</v>
      </c>
      <c r="AJ327" s="1096">
        <v>0</v>
      </c>
      <c r="AK327" s="1096">
        <v>0</v>
      </c>
      <c r="AL327" s="1096">
        <v>0</v>
      </c>
      <c r="AM327" s="1096">
        <v>0</v>
      </c>
      <c r="AN327" s="1096">
        <v>0</v>
      </c>
      <c r="AO327" s="1096">
        <v>0</v>
      </c>
      <c r="AP327" s="1096">
        <v>0</v>
      </c>
      <c r="AQ327" s="1096">
        <v>0</v>
      </c>
      <c r="AR327" s="1096">
        <v>0</v>
      </c>
      <c r="AS327" s="1096">
        <v>2</v>
      </c>
      <c r="AT327" s="1096">
        <v>0</v>
      </c>
      <c r="AU327" s="1096">
        <v>0</v>
      </c>
    </row>
    <row r="328" spans="1:47" s="1077" customFormat="1" x14ac:dyDescent="0.25">
      <c r="A328" s="99">
        <v>929</v>
      </c>
      <c r="B328" s="1116"/>
      <c r="C328" s="1116" t="s">
        <v>1543</v>
      </c>
      <c r="D328" s="1117" t="s">
        <v>647</v>
      </c>
      <c r="E328" s="1091">
        <v>0</v>
      </c>
      <c r="F328" s="1071">
        <v>0</v>
      </c>
      <c r="G328" s="1071">
        <v>0</v>
      </c>
      <c r="H328" s="1071">
        <v>0</v>
      </c>
      <c r="I328" s="1071">
        <v>0</v>
      </c>
      <c r="J328" s="1072">
        <v>0</v>
      </c>
      <c r="K328" s="1096">
        <v>0</v>
      </c>
      <c r="L328" s="1097">
        <v>0</v>
      </c>
      <c r="M328" s="1097">
        <v>2</v>
      </c>
      <c r="N328" s="1097">
        <v>0</v>
      </c>
      <c r="O328" s="1097">
        <v>0</v>
      </c>
      <c r="P328" s="1097">
        <v>0</v>
      </c>
      <c r="Q328" s="1097">
        <v>0</v>
      </c>
      <c r="R328" s="1097">
        <v>0</v>
      </c>
      <c r="S328" s="1097">
        <v>0</v>
      </c>
      <c r="T328" s="1097">
        <v>0</v>
      </c>
      <c r="U328" s="1097">
        <v>0</v>
      </c>
      <c r="V328" s="1097">
        <v>0</v>
      </c>
      <c r="W328" s="1097">
        <v>0</v>
      </c>
      <c r="X328" s="1097">
        <v>0</v>
      </c>
      <c r="Y328" s="1097">
        <v>0</v>
      </c>
      <c r="Z328" s="1097">
        <v>0</v>
      </c>
      <c r="AA328" s="1096">
        <v>0</v>
      </c>
      <c r="AB328" s="1096">
        <v>0</v>
      </c>
      <c r="AC328" s="1096">
        <v>0</v>
      </c>
      <c r="AD328" s="1096">
        <v>0</v>
      </c>
      <c r="AE328" s="1096">
        <v>0</v>
      </c>
      <c r="AF328" s="1096">
        <v>0</v>
      </c>
      <c r="AG328" s="1096">
        <v>0</v>
      </c>
      <c r="AH328" s="1096">
        <v>0</v>
      </c>
      <c r="AI328" s="1096">
        <v>0</v>
      </c>
      <c r="AJ328" s="1096">
        <v>0</v>
      </c>
      <c r="AK328" s="1096">
        <v>0</v>
      </c>
      <c r="AL328" s="1096">
        <v>0</v>
      </c>
      <c r="AM328" s="1096">
        <v>0</v>
      </c>
      <c r="AN328" s="1096">
        <v>0</v>
      </c>
      <c r="AO328" s="1096">
        <v>0</v>
      </c>
      <c r="AP328" s="1096">
        <v>0</v>
      </c>
      <c r="AQ328" s="1096">
        <v>0</v>
      </c>
      <c r="AR328" s="1096">
        <v>0</v>
      </c>
      <c r="AS328" s="1096">
        <v>2</v>
      </c>
      <c r="AT328" s="1096">
        <v>0</v>
      </c>
      <c r="AU328" s="1096">
        <v>0</v>
      </c>
    </row>
    <row r="329" spans="1:47" s="1077" customFormat="1" x14ac:dyDescent="0.25">
      <c r="A329" s="99">
        <v>930</v>
      </c>
      <c r="B329" s="1116"/>
      <c r="C329" s="1116" t="s">
        <v>1543</v>
      </c>
      <c r="D329" s="1117" t="s">
        <v>648</v>
      </c>
      <c r="E329" s="1091">
        <v>0</v>
      </c>
      <c r="F329" s="1071">
        <v>0</v>
      </c>
      <c r="G329" s="1071">
        <v>0</v>
      </c>
      <c r="H329" s="1071">
        <v>0</v>
      </c>
      <c r="I329" s="1071">
        <v>0</v>
      </c>
      <c r="J329" s="1072">
        <v>0</v>
      </c>
      <c r="K329" s="1096">
        <v>0</v>
      </c>
      <c r="L329" s="1097">
        <v>0</v>
      </c>
      <c r="M329" s="1097">
        <v>2</v>
      </c>
      <c r="N329" s="1097">
        <v>0</v>
      </c>
      <c r="O329" s="1097">
        <v>0</v>
      </c>
      <c r="P329" s="1097">
        <v>0</v>
      </c>
      <c r="Q329" s="1097">
        <v>0</v>
      </c>
      <c r="R329" s="1097">
        <v>0</v>
      </c>
      <c r="S329" s="1097">
        <v>0</v>
      </c>
      <c r="T329" s="1097">
        <v>0</v>
      </c>
      <c r="U329" s="1097">
        <v>0</v>
      </c>
      <c r="V329" s="1097">
        <v>0</v>
      </c>
      <c r="W329" s="1097">
        <v>0</v>
      </c>
      <c r="X329" s="1097">
        <v>0</v>
      </c>
      <c r="Y329" s="1097">
        <v>0</v>
      </c>
      <c r="Z329" s="1097">
        <v>0</v>
      </c>
      <c r="AA329" s="1096">
        <v>0</v>
      </c>
      <c r="AB329" s="1096">
        <v>0</v>
      </c>
      <c r="AC329" s="1096">
        <v>0</v>
      </c>
      <c r="AD329" s="1096">
        <v>0</v>
      </c>
      <c r="AE329" s="1096">
        <v>0</v>
      </c>
      <c r="AF329" s="1096">
        <v>0</v>
      </c>
      <c r="AG329" s="1096">
        <v>0</v>
      </c>
      <c r="AH329" s="1096">
        <v>0</v>
      </c>
      <c r="AI329" s="1096">
        <v>0</v>
      </c>
      <c r="AJ329" s="1096">
        <v>0</v>
      </c>
      <c r="AK329" s="1096">
        <v>0</v>
      </c>
      <c r="AL329" s="1096">
        <v>0</v>
      </c>
      <c r="AM329" s="1096">
        <v>0</v>
      </c>
      <c r="AN329" s="1096">
        <v>0</v>
      </c>
      <c r="AO329" s="1096">
        <v>0</v>
      </c>
      <c r="AP329" s="1096">
        <v>0</v>
      </c>
      <c r="AQ329" s="1096">
        <v>0</v>
      </c>
      <c r="AR329" s="1096">
        <v>0</v>
      </c>
      <c r="AS329" s="1096">
        <v>2</v>
      </c>
      <c r="AT329" s="1096">
        <v>0</v>
      </c>
      <c r="AU329" s="1096">
        <v>0</v>
      </c>
    </row>
    <row r="330" spans="1:47" s="1077" customFormat="1" ht="30" x14ac:dyDescent="0.25">
      <c r="A330" s="99">
        <v>931</v>
      </c>
      <c r="B330" s="1116"/>
      <c r="C330" s="1116" t="s">
        <v>1543</v>
      </c>
      <c r="D330" s="1117" t="s">
        <v>649</v>
      </c>
      <c r="E330" s="1091">
        <v>0</v>
      </c>
      <c r="F330" s="1071">
        <v>0</v>
      </c>
      <c r="G330" s="1071">
        <v>0</v>
      </c>
      <c r="H330" s="1071">
        <v>0</v>
      </c>
      <c r="I330" s="1071">
        <v>0</v>
      </c>
      <c r="J330" s="1072">
        <v>0</v>
      </c>
      <c r="K330" s="1096">
        <v>0</v>
      </c>
      <c r="L330" s="1097">
        <v>0</v>
      </c>
      <c r="M330" s="1097">
        <v>2</v>
      </c>
      <c r="N330" s="1097">
        <v>0</v>
      </c>
      <c r="O330" s="1097">
        <v>0</v>
      </c>
      <c r="P330" s="1097">
        <v>0</v>
      </c>
      <c r="Q330" s="1097">
        <v>0</v>
      </c>
      <c r="R330" s="1097">
        <v>0</v>
      </c>
      <c r="S330" s="1097">
        <v>0</v>
      </c>
      <c r="T330" s="1097">
        <v>0</v>
      </c>
      <c r="U330" s="1097">
        <v>0</v>
      </c>
      <c r="V330" s="1097">
        <v>0</v>
      </c>
      <c r="W330" s="1097">
        <v>0</v>
      </c>
      <c r="X330" s="1097">
        <v>0</v>
      </c>
      <c r="Y330" s="1097">
        <v>0</v>
      </c>
      <c r="Z330" s="1097">
        <v>0</v>
      </c>
      <c r="AA330" s="1096">
        <v>0</v>
      </c>
      <c r="AB330" s="1096">
        <v>0</v>
      </c>
      <c r="AC330" s="1096">
        <v>0</v>
      </c>
      <c r="AD330" s="1096">
        <v>0</v>
      </c>
      <c r="AE330" s="1096">
        <v>0</v>
      </c>
      <c r="AF330" s="1096">
        <v>0</v>
      </c>
      <c r="AG330" s="1096">
        <v>0</v>
      </c>
      <c r="AH330" s="1096">
        <v>0</v>
      </c>
      <c r="AI330" s="1096">
        <v>0</v>
      </c>
      <c r="AJ330" s="1096">
        <v>0</v>
      </c>
      <c r="AK330" s="1096">
        <v>0</v>
      </c>
      <c r="AL330" s="1096">
        <v>0</v>
      </c>
      <c r="AM330" s="1096">
        <v>0</v>
      </c>
      <c r="AN330" s="1096">
        <v>0</v>
      </c>
      <c r="AO330" s="1096">
        <v>0</v>
      </c>
      <c r="AP330" s="1096">
        <v>0</v>
      </c>
      <c r="AQ330" s="1096">
        <v>0</v>
      </c>
      <c r="AR330" s="1096">
        <v>0</v>
      </c>
      <c r="AS330" s="1096">
        <v>2</v>
      </c>
      <c r="AT330" s="1096">
        <v>0</v>
      </c>
      <c r="AU330" s="1096">
        <v>0</v>
      </c>
    </row>
    <row r="331" spans="1:47" s="1077" customFormat="1" ht="30" x14ac:dyDescent="0.25">
      <c r="A331" s="99">
        <v>932</v>
      </c>
      <c r="B331" s="1116"/>
      <c r="C331" s="1116" t="s">
        <v>1543</v>
      </c>
      <c r="D331" s="1117" t="s">
        <v>650</v>
      </c>
      <c r="E331" s="1091">
        <v>0</v>
      </c>
      <c r="F331" s="1071">
        <v>0</v>
      </c>
      <c r="G331" s="1071">
        <v>0</v>
      </c>
      <c r="H331" s="1071">
        <v>0</v>
      </c>
      <c r="I331" s="1071">
        <v>0</v>
      </c>
      <c r="J331" s="1072">
        <v>0</v>
      </c>
      <c r="K331" s="1096">
        <v>0</v>
      </c>
      <c r="L331" s="1097">
        <v>0</v>
      </c>
      <c r="M331" s="1097">
        <v>2</v>
      </c>
      <c r="N331" s="1097">
        <v>0</v>
      </c>
      <c r="O331" s="1097">
        <v>0</v>
      </c>
      <c r="P331" s="1097">
        <v>0</v>
      </c>
      <c r="Q331" s="1097">
        <v>0</v>
      </c>
      <c r="R331" s="1097">
        <v>0</v>
      </c>
      <c r="S331" s="1097">
        <v>0</v>
      </c>
      <c r="T331" s="1097">
        <v>0</v>
      </c>
      <c r="U331" s="1097">
        <v>0</v>
      </c>
      <c r="V331" s="1097">
        <v>0</v>
      </c>
      <c r="W331" s="1097">
        <v>0</v>
      </c>
      <c r="X331" s="1097">
        <v>0</v>
      </c>
      <c r="Y331" s="1097">
        <v>0</v>
      </c>
      <c r="Z331" s="1097">
        <v>0</v>
      </c>
      <c r="AA331" s="1096">
        <v>0</v>
      </c>
      <c r="AB331" s="1096">
        <v>0</v>
      </c>
      <c r="AC331" s="1096">
        <v>0</v>
      </c>
      <c r="AD331" s="1096">
        <v>0</v>
      </c>
      <c r="AE331" s="1096">
        <v>0</v>
      </c>
      <c r="AF331" s="1096">
        <v>0</v>
      </c>
      <c r="AG331" s="1096">
        <v>0</v>
      </c>
      <c r="AH331" s="1096">
        <v>0</v>
      </c>
      <c r="AI331" s="1096">
        <v>0</v>
      </c>
      <c r="AJ331" s="1096">
        <v>0</v>
      </c>
      <c r="AK331" s="1096">
        <v>0</v>
      </c>
      <c r="AL331" s="1096">
        <v>0</v>
      </c>
      <c r="AM331" s="1096">
        <v>0</v>
      </c>
      <c r="AN331" s="1096">
        <v>0</v>
      </c>
      <c r="AO331" s="1096">
        <v>0</v>
      </c>
      <c r="AP331" s="1096">
        <v>0</v>
      </c>
      <c r="AQ331" s="1096">
        <v>0</v>
      </c>
      <c r="AR331" s="1096">
        <v>0</v>
      </c>
      <c r="AS331" s="1096">
        <v>2</v>
      </c>
      <c r="AT331" s="1096">
        <v>0</v>
      </c>
      <c r="AU331" s="1096">
        <v>0</v>
      </c>
    </row>
    <row r="332" spans="1:47" s="1077" customFormat="1" x14ac:dyDescent="0.25">
      <c r="A332" s="99"/>
      <c r="B332" s="1116"/>
      <c r="C332" s="1116"/>
      <c r="D332" s="1117"/>
      <c r="E332" s="1066"/>
      <c r="F332" s="99"/>
      <c r="G332" s="99"/>
      <c r="H332" s="99"/>
      <c r="I332" s="99"/>
      <c r="J332" s="99"/>
      <c r="K332" s="99"/>
      <c r="L332" s="99"/>
      <c r="M332" s="99"/>
      <c r="N332" s="99"/>
      <c r="O332" s="99"/>
      <c r="P332" s="99"/>
      <c r="Q332" s="99"/>
      <c r="R332" s="99"/>
      <c r="S332" s="99"/>
      <c r="T332" s="99"/>
      <c r="U332" s="99"/>
      <c r="V332" s="99"/>
      <c r="W332" s="99"/>
      <c r="X332" s="99"/>
      <c r="Y332" s="99"/>
      <c r="Z332" s="99"/>
      <c r="AA332" s="99"/>
      <c r="AB332" s="99"/>
      <c r="AC332" s="99"/>
      <c r="AD332" s="99"/>
      <c r="AE332" s="99"/>
      <c r="AF332" s="99"/>
      <c r="AG332" s="99"/>
      <c r="AH332" s="99"/>
      <c r="AI332" s="99"/>
      <c r="AJ332" s="99"/>
      <c r="AK332" s="99"/>
      <c r="AL332" s="99"/>
      <c r="AM332" s="99"/>
      <c r="AN332" s="99"/>
      <c r="AO332" s="99"/>
      <c r="AP332" s="99"/>
      <c r="AQ332" s="99"/>
      <c r="AR332" s="99"/>
      <c r="AS332" s="99"/>
      <c r="AT332" s="99"/>
      <c r="AU332" s="99"/>
    </row>
    <row r="333" spans="1:47" s="1077" customFormat="1" x14ac:dyDescent="0.25">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c r="AA333" s="99"/>
      <c r="AB333" s="99"/>
      <c r="AC333" s="99"/>
      <c r="AD333" s="99"/>
      <c r="AE333" s="99"/>
      <c r="AF333" s="99"/>
      <c r="AG333" s="99"/>
      <c r="AH333" s="99"/>
      <c r="AI333" s="99"/>
      <c r="AJ333" s="99"/>
      <c r="AK333" s="99"/>
      <c r="AL333" s="99"/>
      <c r="AM333" s="99"/>
      <c r="AN333" s="99"/>
      <c r="AO333" s="99"/>
      <c r="AP333" s="99"/>
      <c r="AQ333" s="99"/>
      <c r="AR333" s="99"/>
      <c r="AS333" s="99"/>
      <c r="AT333" s="99"/>
      <c r="AU333" s="99"/>
    </row>
    <row r="334" spans="1:47" s="1077" customFormat="1" x14ac:dyDescent="0.25">
      <c r="A334" s="99"/>
      <c r="B334" s="1118" t="s">
        <v>1544</v>
      </c>
      <c r="C334" s="1118"/>
      <c r="D334" s="1118" t="s">
        <v>821</v>
      </c>
      <c r="E334" s="1119">
        <v>0</v>
      </c>
      <c r="F334" s="1119">
        <v>0</v>
      </c>
      <c r="G334" s="1119">
        <v>8060618</v>
      </c>
      <c r="H334" s="1119">
        <v>0</v>
      </c>
      <c r="I334" s="1119">
        <v>0</v>
      </c>
      <c r="J334" s="1119">
        <v>349452</v>
      </c>
      <c r="K334" s="1119">
        <v>2458752</v>
      </c>
      <c r="L334" s="1119">
        <v>0</v>
      </c>
      <c r="M334" s="1119">
        <v>0</v>
      </c>
      <c r="N334" s="1119">
        <v>0</v>
      </c>
      <c r="O334" s="1119">
        <v>0</v>
      </c>
      <c r="P334" s="1119">
        <v>0</v>
      </c>
      <c r="Q334" s="1119">
        <v>0</v>
      </c>
      <c r="R334" s="1119">
        <v>0</v>
      </c>
      <c r="S334" s="1119">
        <v>16879</v>
      </c>
      <c r="T334" s="1119">
        <v>0</v>
      </c>
      <c r="U334" s="1119">
        <v>73560</v>
      </c>
      <c r="V334" s="1119">
        <v>1449524</v>
      </c>
      <c r="W334" s="1119">
        <v>0</v>
      </c>
      <c r="X334" s="1119">
        <v>224520</v>
      </c>
      <c r="Y334" s="1119">
        <v>0</v>
      </c>
      <c r="Z334" s="1119">
        <v>10697</v>
      </c>
      <c r="AA334" s="1119">
        <v>362881</v>
      </c>
      <c r="AB334" s="1119">
        <v>0</v>
      </c>
      <c r="AC334" s="1119">
        <v>116441</v>
      </c>
      <c r="AD334" s="1119">
        <v>55528</v>
      </c>
      <c r="AE334" s="1119">
        <v>629163</v>
      </c>
      <c r="AF334" s="1119">
        <v>65443783</v>
      </c>
      <c r="AG334" s="1119">
        <v>0</v>
      </c>
      <c r="AH334" s="1119">
        <v>11618</v>
      </c>
      <c r="AI334" s="1119">
        <v>0</v>
      </c>
      <c r="AJ334" s="1119">
        <v>7895498</v>
      </c>
      <c r="AK334" s="1119">
        <v>1837366</v>
      </c>
      <c r="AL334" s="1119">
        <v>22513443</v>
      </c>
      <c r="AM334" s="1119">
        <v>278057</v>
      </c>
      <c r="AN334" s="1119">
        <v>33264</v>
      </c>
      <c r="AO334" s="1119">
        <v>60186</v>
      </c>
      <c r="AP334" s="1119">
        <v>6033</v>
      </c>
      <c r="AQ334" s="1119">
        <v>59964</v>
      </c>
      <c r="AR334" s="1119">
        <v>2462324</v>
      </c>
      <c r="AS334" s="1119">
        <v>0</v>
      </c>
      <c r="AT334" s="1119">
        <v>0</v>
      </c>
      <c r="AU334" s="1119">
        <v>83789</v>
      </c>
    </row>
    <row r="335" spans="1:47" s="1077" customFormat="1" ht="30" x14ac:dyDescent="0.25">
      <c r="A335" s="99"/>
      <c r="B335" s="1120"/>
      <c r="C335" s="1120"/>
      <c r="D335" s="1120"/>
      <c r="E335" s="1121" t="b">
        <v>0</v>
      </c>
      <c r="F335" s="1121" t="b">
        <v>0</v>
      </c>
      <c r="G335" s="1121" t="s">
        <v>986</v>
      </c>
      <c r="H335" s="1121" t="b">
        <v>0</v>
      </c>
      <c r="I335" s="1121" t="b">
        <v>0</v>
      </c>
      <c r="J335" s="1121" t="s">
        <v>988</v>
      </c>
      <c r="K335" s="1121" t="s">
        <v>986</v>
      </c>
      <c r="L335" s="1121" t="b">
        <v>0</v>
      </c>
      <c r="M335" s="1121" t="b">
        <v>0</v>
      </c>
      <c r="N335" s="1121" t="b">
        <v>0</v>
      </c>
      <c r="O335" s="1121" t="b">
        <v>0</v>
      </c>
      <c r="P335" s="1121" t="b">
        <v>0</v>
      </c>
      <c r="Q335" s="1121" t="b">
        <v>0</v>
      </c>
      <c r="R335" s="1121" t="b">
        <v>0</v>
      </c>
      <c r="S335" s="1121" t="s">
        <v>989</v>
      </c>
      <c r="T335" s="1121" t="b">
        <v>0</v>
      </c>
      <c r="U335" s="1121" t="s">
        <v>989</v>
      </c>
      <c r="V335" s="1121" t="s">
        <v>986</v>
      </c>
      <c r="W335" s="1121" t="b">
        <v>0</v>
      </c>
      <c r="X335" s="1121" t="s">
        <v>988</v>
      </c>
      <c r="Y335" s="1121" t="b">
        <v>0</v>
      </c>
      <c r="Z335" s="1121" t="s">
        <v>989</v>
      </c>
      <c r="AA335" s="1121" t="s">
        <v>988</v>
      </c>
      <c r="AB335" s="1121" t="b">
        <v>0</v>
      </c>
      <c r="AC335" s="1121" t="s">
        <v>988</v>
      </c>
      <c r="AD335" s="1121" t="s">
        <v>989</v>
      </c>
      <c r="AE335" s="1121" t="s">
        <v>988</v>
      </c>
      <c r="AF335" s="1121" t="s">
        <v>987</v>
      </c>
      <c r="AG335" s="1121" t="b">
        <v>0</v>
      </c>
      <c r="AH335" s="1121" t="s">
        <v>989</v>
      </c>
      <c r="AI335" s="1121" t="b">
        <v>0</v>
      </c>
      <c r="AJ335" s="1121" t="s">
        <v>986</v>
      </c>
      <c r="AK335" s="1121" t="s">
        <v>986</v>
      </c>
      <c r="AL335" s="1121" t="s">
        <v>987</v>
      </c>
      <c r="AM335" s="1121" t="s">
        <v>988</v>
      </c>
      <c r="AN335" s="1121" t="s">
        <v>989</v>
      </c>
      <c r="AO335" s="1121" t="s">
        <v>989</v>
      </c>
      <c r="AP335" s="1121" t="s">
        <v>989</v>
      </c>
      <c r="AQ335" s="1121" t="s">
        <v>989</v>
      </c>
      <c r="AR335" s="1121" t="s">
        <v>986</v>
      </c>
      <c r="AS335" s="1121" t="b">
        <v>0</v>
      </c>
      <c r="AT335" s="1121" t="b">
        <v>0</v>
      </c>
      <c r="AU335" s="1121" t="s">
        <v>989</v>
      </c>
    </row>
    <row r="336" spans="1:47" s="411" customFormat="1" x14ac:dyDescent="0.25">
      <c r="A336" s="99"/>
      <c r="B336" s="1120"/>
      <c r="C336" s="1120"/>
      <c r="D336" s="1120"/>
      <c r="E336" s="1121" t="b">
        <v>0</v>
      </c>
      <c r="F336" s="1121" t="b">
        <v>0</v>
      </c>
      <c r="G336" s="1121">
        <v>0.34</v>
      </c>
      <c r="H336" s="1121" t="b">
        <v>0</v>
      </c>
      <c r="I336" s="1121" t="b">
        <v>0</v>
      </c>
      <c r="J336" s="1121">
        <v>0.71</v>
      </c>
      <c r="K336" s="1121">
        <v>0.34</v>
      </c>
      <c r="L336" s="1121" t="b">
        <v>0</v>
      </c>
      <c r="M336" s="1121" t="b">
        <v>0</v>
      </c>
      <c r="N336" s="1121" t="b">
        <v>0</v>
      </c>
      <c r="O336" s="1121" t="b">
        <v>0</v>
      </c>
      <c r="P336" s="1121" t="b">
        <v>0</v>
      </c>
      <c r="Q336" s="1121" t="b">
        <v>0</v>
      </c>
      <c r="R336" s="1121" t="b">
        <v>0</v>
      </c>
      <c r="S336" s="1121">
        <v>100</v>
      </c>
      <c r="T336" s="1121" t="b">
        <v>0</v>
      </c>
      <c r="U336" s="1121">
        <v>100</v>
      </c>
      <c r="V336" s="1121">
        <v>0.34</v>
      </c>
      <c r="W336" s="1121" t="b">
        <v>0</v>
      </c>
      <c r="X336" s="1121">
        <v>0.71</v>
      </c>
      <c r="Y336" s="1121" t="b">
        <v>0</v>
      </c>
      <c r="Z336" s="1121">
        <v>100</v>
      </c>
      <c r="AA336" s="1121">
        <v>0.71</v>
      </c>
      <c r="AB336" s="1121" t="b">
        <v>0</v>
      </c>
      <c r="AC336" s="1121">
        <v>0.71</v>
      </c>
      <c r="AD336" s="1121">
        <v>100</v>
      </c>
      <c r="AE336" s="1121">
        <v>0.71</v>
      </c>
      <c r="AF336" s="1121">
        <v>0.25</v>
      </c>
      <c r="AG336" s="1121" t="b">
        <v>0</v>
      </c>
      <c r="AH336" s="1121">
        <v>100</v>
      </c>
      <c r="AI336" s="1121" t="b">
        <v>0</v>
      </c>
      <c r="AJ336" s="1121">
        <v>0.34</v>
      </c>
      <c r="AK336" s="1121">
        <v>0.34</v>
      </c>
      <c r="AL336" s="1121">
        <v>0.25</v>
      </c>
      <c r="AM336" s="1121">
        <v>0.71</v>
      </c>
      <c r="AN336" s="1121">
        <v>100</v>
      </c>
      <c r="AO336" s="1121">
        <v>100</v>
      </c>
      <c r="AP336" s="1121">
        <v>100</v>
      </c>
      <c r="AQ336" s="1121">
        <v>100</v>
      </c>
      <c r="AR336" s="1121">
        <v>0.34</v>
      </c>
      <c r="AS336" s="1121" t="b">
        <v>0</v>
      </c>
      <c r="AT336" s="1121" t="b">
        <v>0</v>
      </c>
      <c r="AU336" s="1121">
        <v>100</v>
      </c>
    </row>
    <row r="337" spans="2:47" s="1077" customFormat="1" ht="43.5" x14ac:dyDescent="0.25">
      <c r="B337" s="1122" t="s">
        <v>822</v>
      </c>
      <c r="C337" s="1123"/>
      <c r="D337" s="1124" t="s">
        <v>606</v>
      </c>
      <c r="E337" s="1119">
        <v>0</v>
      </c>
      <c r="F337" s="1119">
        <v>0</v>
      </c>
      <c r="G337" s="1119">
        <v>298578</v>
      </c>
      <c r="H337" s="1119">
        <v>0</v>
      </c>
      <c r="I337" s="1119">
        <v>0</v>
      </c>
      <c r="J337" s="1119">
        <v>205213</v>
      </c>
      <c r="K337" s="1119">
        <v>1147370</v>
      </c>
      <c r="L337" s="1119">
        <v>0</v>
      </c>
      <c r="M337" s="1119">
        <v>0</v>
      </c>
      <c r="N337" s="1119">
        <v>0</v>
      </c>
      <c r="O337" s="1119">
        <v>0</v>
      </c>
      <c r="P337" s="1119">
        <v>0</v>
      </c>
      <c r="Q337" s="1119">
        <v>0</v>
      </c>
      <c r="R337" s="1119">
        <v>0</v>
      </c>
      <c r="S337" s="1119">
        <v>324457</v>
      </c>
      <c r="T337" s="1119">
        <v>0</v>
      </c>
      <c r="U337" s="1119">
        <v>134787</v>
      </c>
      <c r="V337" s="1119">
        <v>5856165</v>
      </c>
      <c r="W337" s="1119">
        <v>0</v>
      </c>
      <c r="X337" s="1119">
        <v>81971</v>
      </c>
      <c r="Y337" s="1119">
        <v>0</v>
      </c>
      <c r="Z337" s="1119">
        <v>150409</v>
      </c>
      <c r="AA337" s="1119">
        <v>338085</v>
      </c>
      <c r="AB337" s="1119">
        <v>0</v>
      </c>
      <c r="AC337" s="1119">
        <v>52984</v>
      </c>
      <c r="AD337" s="1119">
        <v>162470</v>
      </c>
      <c r="AE337" s="1119">
        <v>118121</v>
      </c>
      <c r="AF337" s="1119">
        <v>-1073858</v>
      </c>
      <c r="AG337" s="1119">
        <v>0</v>
      </c>
      <c r="AH337" s="1119">
        <v>113838</v>
      </c>
      <c r="AI337" s="1119">
        <v>0</v>
      </c>
      <c r="AJ337" s="1119">
        <v>8710396</v>
      </c>
      <c r="AK337" s="1119">
        <v>4369704</v>
      </c>
      <c r="AL337" s="1119">
        <v>14458841</v>
      </c>
      <c r="AM337" s="1119">
        <v>1048992</v>
      </c>
      <c r="AN337" s="1119">
        <v>58394</v>
      </c>
      <c r="AO337" s="1119">
        <v>238203</v>
      </c>
      <c r="AP337" s="1119">
        <v>31391</v>
      </c>
      <c r="AQ337" s="1119">
        <v>56776</v>
      </c>
      <c r="AR337" s="1119">
        <v>648686</v>
      </c>
      <c r="AS337" s="1119">
        <v>0</v>
      </c>
      <c r="AT337" s="1119">
        <v>0</v>
      </c>
      <c r="AU337" s="1119">
        <v>176213</v>
      </c>
    </row>
    <row r="338" spans="2:47" s="1077" customFormat="1" ht="29.25" x14ac:dyDescent="0.25">
      <c r="B338" s="1122" t="s">
        <v>521</v>
      </c>
      <c r="C338" s="1123"/>
      <c r="D338" s="1124" t="s">
        <v>526</v>
      </c>
      <c r="E338" s="1119">
        <v>0</v>
      </c>
      <c r="F338" s="1119">
        <v>0</v>
      </c>
      <c r="G338" s="1119">
        <v>8060618</v>
      </c>
      <c r="H338" s="1119">
        <v>0</v>
      </c>
      <c r="I338" s="1119">
        <v>0</v>
      </c>
      <c r="J338" s="1119">
        <v>349452</v>
      </c>
      <c r="K338" s="1119">
        <v>2458752</v>
      </c>
      <c r="L338" s="1119">
        <v>0</v>
      </c>
      <c r="M338" s="1119">
        <v>0</v>
      </c>
      <c r="N338" s="1119">
        <v>0</v>
      </c>
      <c r="O338" s="1119">
        <v>0</v>
      </c>
      <c r="P338" s="1119">
        <v>0</v>
      </c>
      <c r="Q338" s="1119">
        <v>0</v>
      </c>
      <c r="R338" s="1119">
        <v>0</v>
      </c>
      <c r="S338" s="1119">
        <v>16879</v>
      </c>
      <c r="T338" s="1119">
        <v>0</v>
      </c>
      <c r="U338" s="1119">
        <v>73560</v>
      </c>
      <c r="V338" s="1119">
        <v>1449524</v>
      </c>
      <c r="W338" s="1119">
        <v>0</v>
      </c>
      <c r="X338" s="1119">
        <v>224520</v>
      </c>
      <c r="Y338" s="1119">
        <v>0</v>
      </c>
      <c r="Z338" s="1119">
        <v>10697</v>
      </c>
      <c r="AA338" s="1119">
        <v>362881</v>
      </c>
      <c r="AB338" s="1119">
        <v>0</v>
      </c>
      <c r="AC338" s="1119">
        <v>116441</v>
      </c>
      <c r="AD338" s="1119">
        <v>55528</v>
      </c>
      <c r="AE338" s="1119">
        <v>629163</v>
      </c>
      <c r="AF338" s="1119">
        <v>65443783</v>
      </c>
      <c r="AG338" s="1119">
        <v>0</v>
      </c>
      <c r="AH338" s="1119">
        <v>11618</v>
      </c>
      <c r="AI338" s="1119">
        <v>0</v>
      </c>
      <c r="AJ338" s="1119">
        <v>7895498</v>
      </c>
      <c r="AK338" s="1119">
        <v>1837366</v>
      </c>
      <c r="AL338" s="1119">
        <v>22513443</v>
      </c>
      <c r="AM338" s="1119">
        <v>278057</v>
      </c>
      <c r="AN338" s="1119">
        <v>33264</v>
      </c>
      <c r="AO338" s="1119">
        <v>60186</v>
      </c>
      <c r="AP338" s="1119">
        <v>6033</v>
      </c>
      <c r="AQ338" s="1119">
        <v>59964</v>
      </c>
      <c r="AR338" s="1119">
        <v>2462324</v>
      </c>
      <c r="AS338" s="1119">
        <v>0</v>
      </c>
      <c r="AT338" s="1119">
        <v>0</v>
      </c>
      <c r="AU338" s="1119">
        <v>83789</v>
      </c>
    </row>
    <row r="339" spans="2:47" s="411" customFormat="1" ht="45" x14ac:dyDescent="0.25">
      <c r="B339" s="1125" t="s">
        <v>823</v>
      </c>
      <c r="C339" s="1125"/>
      <c r="D339" s="416" t="s">
        <v>605</v>
      </c>
      <c r="E339" s="1126" t="e">
        <v>#DIV/0!</v>
      </c>
      <c r="F339" s="1126" t="e">
        <v>#DIV/0!</v>
      </c>
      <c r="G339" s="1126">
        <v>3.6999999999999998E-2</v>
      </c>
      <c r="H339" s="1126" t="e">
        <v>#DIV/0!</v>
      </c>
      <c r="I339" s="1126" t="e">
        <v>#DIV/0!</v>
      </c>
      <c r="J339" s="1126">
        <v>0.58720000000000006</v>
      </c>
      <c r="K339" s="1126">
        <v>0.46660000000000001</v>
      </c>
      <c r="L339" s="1126" t="e">
        <v>#DIV/0!</v>
      </c>
      <c r="M339" s="1126" t="e">
        <v>#DIV/0!</v>
      </c>
      <c r="N339" s="1126" t="e">
        <v>#DIV/0!</v>
      </c>
      <c r="O339" s="1126" t="e">
        <v>#DIV/0!</v>
      </c>
      <c r="P339" s="1126" t="e">
        <v>#DIV/0!</v>
      </c>
      <c r="Q339" s="1126" t="e">
        <v>#DIV/0!</v>
      </c>
      <c r="R339" s="1126" t="e">
        <v>#DIV/0!</v>
      </c>
      <c r="S339" s="1126">
        <v>19.2225</v>
      </c>
      <c r="T339" s="1126" t="e">
        <v>#DIV/0!</v>
      </c>
      <c r="U339" s="1126">
        <v>1.8323</v>
      </c>
      <c r="V339" s="1126">
        <v>4.0400999999999998</v>
      </c>
      <c r="W339" s="1126" t="e">
        <v>#DIV/0!</v>
      </c>
      <c r="X339" s="1126">
        <v>0.36509999999999998</v>
      </c>
      <c r="Y339" s="1126" t="e">
        <v>#DIV/0!</v>
      </c>
      <c r="Z339" s="1126">
        <v>14.0609</v>
      </c>
      <c r="AA339" s="1126">
        <v>0.93169999999999997</v>
      </c>
      <c r="AB339" s="1126" t="e">
        <v>#DIV/0!</v>
      </c>
      <c r="AC339" s="1126">
        <v>0.45500000000000002</v>
      </c>
      <c r="AD339" s="1126">
        <v>2.9258999999999999</v>
      </c>
      <c r="AE339" s="1126">
        <v>0.18770000000000001</v>
      </c>
      <c r="AF339" s="1126">
        <v>-1.6400000000000001E-2</v>
      </c>
      <c r="AG339" s="1126" t="e">
        <v>#DIV/0!</v>
      </c>
      <c r="AH339" s="1126">
        <v>9.7984000000000009</v>
      </c>
      <c r="AI339" s="1126" t="e">
        <v>#DIV/0!</v>
      </c>
      <c r="AJ339" s="1126">
        <v>1.1032</v>
      </c>
      <c r="AK339" s="1126">
        <v>2.3782000000000001</v>
      </c>
      <c r="AL339" s="1126">
        <v>0.64219999999999999</v>
      </c>
      <c r="AM339" s="1126">
        <v>3.7726000000000002</v>
      </c>
      <c r="AN339" s="1126">
        <v>1.7555000000000001</v>
      </c>
      <c r="AO339" s="1126">
        <v>3.9578000000000002</v>
      </c>
      <c r="AP339" s="1126">
        <v>5.2031999999999998</v>
      </c>
      <c r="AQ339" s="1126">
        <v>0.94679999999999997</v>
      </c>
      <c r="AR339" s="1126">
        <v>0.26340000000000002</v>
      </c>
      <c r="AS339" s="1126" t="e">
        <v>#DIV/0!</v>
      </c>
      <c r="AT339" s="1126" t="e">
        <v>#DIV/0!</v>
      </c>
      <c r="AU339" s="1126">
        <v>2.1031</v>
      </c>
    </row>
    <row r="340" spans="2:47" s="1077" customFormat="1" ht="30" x14ac:dyDescent="0.25">
      <c r="B340" s="1125" t="s">
        <v>522</v>
      </c>
      <c r="C340" s="1125"/>
      <c r="D340" s="1127" t="s">
        <v>1561</v>
      </c>
      <c r="E340" s="1128">
        <v>0</v>
      </c>
      <c r="F340" s="1128">
        <v>0</v>
      </c>
      <c r="G340" s="1128">
        <v>0</v>
      </c>
      <c r="H340" s="1128">
        <v>0</v>
      </c>
      <c r="I340" s="1128">
        <v>0</v>
      </c>
      <c r="J340" s="1128">
        <v>0</v>
      </c>
      <c r="K340" s="1128">
        <v>0</v>
      </c>
      <c r="L340" s="1128">
        <v>0</v>
      </c>
      <c r="M340" s="1128">
        <v>0</v>
      </c>
      <c r="N340" s="1128">
        <v>0</v>
      </c>
      <c r="O340" s="1128">
        <v>0</v>
      </c>
      <c r="P340" s="1128">
        <v>0</v>
      </c>
      <c r="Q340" s="1128">
        <v>0</v>
      </c>
      <c r="R340" s="1128">
        <v>0</v>
      </c>
      <c r="S340" s="1128">
        <v>0</v>
      </c>
      <c r="T340" s="1128">
        <v>0</v>
      </c>
      <c r="U340" s="1128">
        <v>0</v>
      </c>
      <c r="V340" s="1128">
        <v>0</v>
      </c>
      <c r="W340" s="1128">
        <v>0</v>
      </c>
      <c r="X340" s="1128">
        <v>0</v>
      </c>
      <c r="Y340" s="1128">
        <v>0</v>
      </c>
      <c r="Z340" s="1128">
        <v>0</v>
      </c>
      <c r="AA340" s="1128">
        <v>0</v>
      </c>
      <c r="AB340" s="1128">
        <v>0</v>
      </c>
      <c r="AC340" s="1128">
        <v>0</v>
      </c>
      <c r="AD340" s="1128">
        <v>0</v>
      </c>
      <c r="AE340" s="1128">
        <v>0</v>
      </c>
      <c r="AF340" s="1128">
        <v>0</v>
      </c>
      <c r="AG340" s="1128">
        <v>0</v>
      </c>
      <c r="AH340" s="1128">
        <v>0</v>
      </c>
      <c r="AI340" s="1128">
        <v>0</v>
      </c>
      <c r="AJ340" s="1128">
        <v>0</v>
      </c>
      <c r="AK340" s="1128">
        <v>0</v>
      </c>
      <c r="AL340" s="1128">
        <v>0</v>
      </c>
      <c r="AM340" s="1128">
        <v>0</v>
      </c>
      <c r="AN340" s="1128">
        <v>0</v>
      </c>
      <c r="AO340" s="1128">
        <v>0</v>
      </c>
      <c r="AP340" s="1128">
        <v>0</v>
      </c>
      <c r="AQ340" s="1128">
        <v>0</v>
      </c>
      <c r="AR340" s="1128">
        <v>0</v>
      </c>
      <c r="AS340" s="1128">
        <v>0</v>
      </c>
      <c r="AT340" s="1128">
        <v>0</v>
      </c>
      <c r="AU340" s="1128">
        <v>0</v>
      </c>
    </row>
    <row r="341" spans="2:47" s="1077" customFormat="1" ht="45" x14ac:dyDescent="0.25">
      <c r="B341" s="1125" t="s">
        <v>581</v>
      </c>
      <c r="C341" s="1125"/>
      <c r="D341" s="1124" t="s">
        <v>523</v>
      </c>
      <c r="E341" s="1128"/>
      <c r="F341" s="1128"/>
      <c r="G341" s="1128"/>
      <c r="H341" s="1128"/>
      <c r="I341" s="1128"/>
      <c r="J341" s="1128"/>
      <c r="K341" s="1128"/>
      <c r="L341" s="1128"/>
      <c r="M341" s="1128"/>
      <c r="N341" s="1128"/>
      <c r="O341" s="1128"/>
      <c r="P341" s="1128"/>
      <c r="Q341" s="1128"/>
      <c r="R341" s="1128"/>
      <c r="S341" s="1128"/>
      <c r="T341" s="1128"/>
      <c r="U341" s="1128"/>
      <c r="V341" s="1128"/>
      <c r="W341" s="1128"/>
      <c r="X341" s="1128"/>
      <c r="Y341" s="1128"/>
      <c r="Z341" s="1128"/>
      <c r="AA341" s="1128"/>
      <c r="AB341" s="1128"/>
      <c r="AC341" s="1128"/>
      <c r="AD341" s="1128"/>
      <c r="AE341" s="1128"/>
      <c r="AF341" s="1128"/>
      <c r="AG341" s="1128"/>
      <c r="AH341" s="1128"/>
      <c r="AI341" s="1128"/>
      <c r="AJ341" s="1128"/>
      <c r="AK341" s="1128"/>
      <c r="AL341" s="1128"/>
      <c r="AM341" s="1128"/>
      <c r="AN341" s="1128"/>
      <c r="AO341" s="1128"/>
      <c r="AP341" s="1128"/>
      <c r="AQ341" s="1128"/>
      <c r="AR341" s="1128"/>
      <c r="AS341" s="1128"/>
      <c r="AT341" s="1128"/>
      <c r="AU341" s="1128"/>
    </row>
    <row r="342" spans="2:47" s="1077" customFormat="1" ht="30" x14ac:dyDescent="0.25">
      <c r="B342" s="1125" t="s">
        <v>525</v>
      </c>
      <c r="C342" s="1129"/>
      <c r="D342" s="1124" t="s">
        <v>524</v>
      </c>
      <c r="E342" s="1128"/>
      <c r="F342" s="1128"/>
      <c r="G342" s="1128"/>
      <c r="H342" s="1128"/>
      <c r="I342" s="1128"/>
      <c r="J342" s="1128"/>
      <c r="K342" s="1128"/>
      <c r="L342" s="1128"/>
      <c r="M342" s="1128"/>
      <c r="N342" s="1128"/>
      <c r="O342" s="1128"/>
      <c r="P342" s="1128"/>
      <c r="Q342" s="1128"/>
      <c r="R342" s="1128"/>
      <c r="S342" s="1128"/>
      <c r="T342" s="1128"/>
      <c r="U342" s="1128"/>
      <c r="V342" s="1128"/>
      <c r="W342" s="1128"/>
      <c r="X342" s="1128"/>
      <c r="Y342" s="1128"/>
      <c r="Z342" s="1128"/>
      <c r="AA342" s="1128"/>
      <c r="AB342" s="1128"/>
      <c r="AC342" s="1128"/>
      <c r="AD342" s="1128"/>
      <c r="AE342" s="1128"/>
      <c r="AF342" s="1128"/>
      <c r="AG342" s="1128"/>
      <c r="AH342" s="1128"/>
      <c r="AI342" s="1128"/>
      <c r="AJ342" s="1128"/>
      <c r="AK342" s="1128"/>
      <c r="AL342" s="1128"/>
      <c r="AM342" s="1128"/>
      <c r="AN342" s="1128"/>
      <c r="AO342" s="1128"/>
      <c r="AP342" s="1128"/>
      <c r="AQ342" s="1128"/>
      <c r="AR342" s="1128"/>
      <c r="AS342" s="1128"/>
      <c r="AT342" s="1128"/>
      <c r="AU342" s="1128"/>
    </row>
    <row r="343" spans="2:47" s="1077" customFormat="1" ht="30" x14ac:dyDescent="0.25">
      <c r="B343" s="1125" t="s">
        <v>527</v>
      </c>
      <c r="C343" s="1129"/>
      <c r="D343" s="1124" t="s">
        <v>529</v>
      </c>
      <c r="E343" s="1128"/>
      <c r="F343" s="1128"/>
      <c r="G343" s="1128"/>
      <c r="H343" s="1128"/>
      <c r="I343" s="1128"/>
      <c r="J343" s="1128"/>
      <c r="K343" s="1128"/>
      <c r="L343" s="1128"/>
      <c r="M343" s="1128"/>
      <c r="N343" s="1128"/>
      <c r="O343" s="1128"/>
      <c r="P343" s="1128"/>
      <c r="Q343" s="1128"/>
      <c r="R343" s="1128"/>
      <c r="S343" s="1128"/>
      <c r="T343" s="1128"/>
      <c r="U343" s="1128"/>
      <c r="V343" s="1128"/>
      <c r="W343" s="1128"/>
      <c r="X343" s="1128"/>
      <c r="Y343" s="1128"/>
      <c r="Z343" s="1128"/>
      <c r="AA343" s="1128"/>
      <c r="AB343" s="1128"/>
      <c r="AC343" s="1128"/>
      <c r="AD343" s="1128"/>
      <c r="AE343" s="1128"/>
      <c r="AF343" s="1128"/>
      <c r="AG343" s="1128"/>
      <c r="AH343" s="1128"/>
      <c r="AI343" s="1128"/>
      <c r="AJ343" s="1128"/>
      <c r="AK343" s="1128"/>
      <c r="AL343" s="1128"/>
      <c r="AM343" s="1128"/>
      <c r="AN343" s="1128"/>
      <c r="AO343" s="1128"/>
      <c r="AP343" s="1128"/>
      <c r="AQ343" s="1128"/>
      <c r="AR343" s="1128"/>
      <c r="AS343" s="1128"/>
      <c r="AT343" s="1128"/>
      <c r="AU343" s="1128"/>
    </row>
    <row r="344" spans="2:47" s="1077" customFormat="1" ht="30" x14ac:dyDescent="0.25">
      <c r="B344" s="1125" t="s">
        <v>528</v>
      </c>
      <c r="C344" s="1129"/>
      <c r="D344" s="1124" t="s">
        <v>530</v>
      </c>
      <c r="E344" s="1128"/>
      <c r="F344" s="1128"/>
      <c r="G344" s="1128"/>
      <c r="H344" s="1128"/>
      <c r="I344" s="1128"/>
      <c r="J344" s="1128"/>
      <c r="K344" s="1128"/>
      <c r="L344" s="1128"/>
      <c r="M344" s="1128"/>
      <c r="N344" s="1128"/>
      <c r="O344" s="1128"/>
      <c r="P344" s="1128"/>
      <c r="Q344" s="1128"/>
      <c r="R344" s="1128"/>
      <c r="S344" s="1128"/>
      <c r="T344" s="1128"/>
      <c r="U344" s="1128"/>
      <c r="V344" s="1128"/>
      <c r="W344" s="1128"/>
      <c r="X344" s="1128"/>
      <c r="Y344" s="1128"/>
      <c r="Z344" s="1128"/>
      <c r="AA344" s="1128"/>
      <c r="AB344" s="1128"/>
      <c r="AC344" s="1128"/>
      <c r="AD344" s="1128"/>
      <c r="AE344" s="1128"/>
      <c r="AF344" s="1128"/>
      <c r="AG344" s="1128"/>
      <c r="AH344" s="1128"/>
      <c r="AI344" s="1128"/>
      <c r="AJ344" s="1128"/>
      <c r="AK344" s="1128"/>
      <c r="AL344" s="1128"/>
      <c r="AM344" s="1128"/>
      <c r="AN344" s="1128"/>
      <c r="AO344" s="1128"/>
      <c r="AP344" s="1128"/>
      <c r="AQ344" s="1128"/>
      <c r="AR344" s="1128"/>
      <c r="AS344" s="1128"/>
      <c r="AT344" s="1128"/>
      <c r="AU344" s="1128"/>
    </row>
    <row r="345" spans="2:47" s="1077" customFormat="1" ht="30" x14ac:dyDescent="0.25">
      <c r="B345" s="1125" t="s">
        <v>603</v>
      </c>
      <c r="C345" s="1129"/>
      <c r="D345" s="1124" t="s">
        <v>606</v>
      </c>
      <c r="E345" s="1128"/>
      <c r="F345" s="1128"/>
      <c r="G345" s="1128"/>
      <c r="H345" s="1128"/>
      <c r="I345" s="1128"/>
      <c r="J345" s="1128"/>
      <c r="K345" s="1128"/>
      <c r="L345" s="1128"/>
      <c r="M345" s="1128"/>
      <c r="N345" s="1128"/>
      <c r="O345" s="1128"/>
      <c r="P345" s="1128"/>
      <c r="Q345" s="1128"/>
      <c r="R345" s="1128"/>
      <c r="S345" s="1128"/>
      <c r="T345" s="1128"/>
      <c r="U345" s="1128"/>
      <c r="V345" s="1128"/>
      <c r="W345" s="1128"/>
      <c r="X345" s="1128"/>
      <c r="Y345" s="1128"/>
      <c r="Z345" s="1128"/>
      <c r="AA345" s="1128"/>
      <c r="AB345" s="1128"/>
      <c r="AC345" s="1128"/>
      <c r="AD345" s="1128"/>
      <c r="AE345" s="1128"/>
      <c r="AF345" s="1128"/>
      <c r="AG345" s="1128"/>
      <c r="AH345" s="1128"/>
      <c r="AI345" s="1128"/>
      <c r="AJ345" s="1128"/>
      <c r="AK345" s="1128"/>
      <c r="AL345" s="1128"/>
      <c r="AM345" s="1128"/>
      <c r="AN345" s="1128"/>
      <c r="AO345" s="1128"/>
      <c r="AP345" s="1128"/>
      <c r="AQ345" s="1128"/>
      <c r="AR345" s="1128"/>
      <c r="AS345" s="1128"/>
      <c r="AT345" s="1128"/>
      <c r="AU345" s="1128"/>
    </row>
    <row r="346" spans="2:47" s="1077" customFormat="1" ht="45" x14ac:dyDescent="0.25">
      <c r="B346" s="1125" t="s">
        <v>604</v>
      </c>
      <c r="C346" s="1129"/>
      <c r="D346" s="99" t="s">
        <v>605</v>
      </c>
      <c r="E346" s="1128"/>
      <c r="F346" s="1128"/>
      <c r="G346" s="1128"/>
      <c r="H346" s="1128"/>
      <c r="I346" s="1128"/>
      <c r="J346" s="1128"/>
      <c r="K346" s="1128"/>
      <c r="L346" s="1128"/>
      <c r="M346" s="1128"/>
      <c r="N346" s="1128"/>
      <c r="O346" s="1128"/>
      <c r="P346" s="1128"/>
      <c r="Q346" s="1128"/>
      <c r="R346" s="1128"/>
      <c r="S346" s="1128"/>
      <c r="T346" s="1128"/>
      <c r="U346" s="1128"/>
      <c r="V346" s="1128"/>
      <c r="W346" s="1128"/>
      <c r="X346" s="1128"/>
      <c r="Y346" s="1128"/>
      <c r="Z346" s="1128"/>
      <c r="AA346" s="1128"/>
      <c r="AB346" s="1128"/>
      <c r="AC346" s="1128"/>
      <c r="AD346" s="1128"/>
      <c r="AE346" s="1128"/>
      <c r="AF346" s="1128"/>
      <c r="AG346" s="1128"/>
      <c r="AH346" s="1128"/>
      <c r="AI346" s="1128"/>
      <c r="AJ346" s="1128"/>
      <c r="AK346" s="1128"/>
      <c r="AL346" s="1128"/>
      <c r="AM346" s="1128"/>
      <c r="AN346" s="1128"/>
      <c r="AO346" s="1128"/>
      <c r="AP346" s="1128"/>
      <c r="AQ346" s="1128"/>
      <c r="AR346" s="1128"/>
      <c r="AS346" s="1128"/>
      <c r="AT346" s="1128"/>
      <c r="AU346" s="1128"/>
    </row>
    <row r="347" spans="2:47" s="1077" customFormat="1" ht="30" x14ac:dyDescent="0.25">
      <c r="B347" s="1130" t="s">
        <v>824</v>
      </c>
      <c r="C347" s="1125"/>
      <c r="D347" s="1131" t="s">
        <v>548</v>
      </c>
      <c r="E347" s="1128" t="e">
        <v>#DIV/0!</v>
      </c>
      <c r="F347" s="1128" t="e">
        <v>#DIV/0!</v>
      </c>
      <c r="G347" s="1128" t="e">
        <v>#DIV/0!</v>
      </c>
      <c r="H347" s="1128" t="e">
        <v>#DIV/0!</v>
      </c>
      <c r="I347" s="1128" t="e">
        <v>#DIV/0!</v>
      </c>
      <c r="J347" s="1128" t="e">
        <v>#DIV/0!</v>
      </c>
      <c r="K347" s="1128" t="e">
        <v>#DIV/0!</v>
      </c>
      <c r="L347" s="1128" t="e">
        <v>#DIV/0!</v>
      </c>
      <c r="M347" s="1128" t="e">
        <v>#DIV/0!</v>
      </c>
      <c r="N347" s="1128" t="e">
        <v>#DIV/0!</v>
      </c>
      <c r="O347" s="1128" t="e">
        <v>#DIV/0!</v>
      </c>
      <c r="P347" s="1128" t="e">
        <v>#DIV/0!</v>
      </c>
      <c r="Q347" s="1128" t="e">
        <v>#DIV/0!</v>
      </c>
      <c r="R347" s="1128" t="e">
        <v>#DIV/0!</v>
      </c>
      <c r="S347" s="1128" t="e">
        <v>#DIV/0!</v>
      </c>
      <c r="T347" s="1128" t="e">
        <v>#DIV/0!</v>
      </c>
      <c r="U347" s="1128" t="e">
        <v>#DIV/0!</v>
      </c>
      <c r="V347" s="1128" t="e">
        <v>#DIV/0!</v>
      </c>
      <c r="W347" s="1128" t="e">
        <v>#DIV/0!</v>
      </c>
      <c r="X347" s="1128" t="e">
        <v>#DIV/0!</v>
      </c>
      <c r="Y347" s="1128" t="e">
        <v>#DIV/0!</v>
      </c>
      <c r="Z347" s="1128" t="e">
        <v>#DIV/0!</v>
      </c>
      <c r="AA347" s="1128" t="e">
        <v>#DIV/0!</v>
      </c>
      <c r="AB347" s="1128" t="e">
        <v>#DIV/0!</v>
      </c>
      <c r="AC347" s="1128" t="e">
        <v>#DIV/0!</v>
      </c>
      <c r="AD347" s="1128" t="e">
        <v>#DIV/0!</v>
      </c>
      <c r="AE347" s="1128" t="e">
        <v>#DIV/0!</v>
      </c>
      <c r="AF347" s="1128" t="e">
        <v>#DIV/0!</v>
      </c>
      <c r="AG347" s="1128" t="e">
        <v>#DIV/0!</v>
      </c>
      <c r="AH347" s="1128" t="e">
        <v>#DIV/0!</v>
      </c>
      <c r="AI347" s="1128" t="e">
        <v>#DIV/0!</v>
      </c>
      <c r="AJ347" s="1128" t="e">
        <v>#DIV/0!</v>
      </c>
      <c r="AK347" s="1128" t="e">
        <v>#DIV/0!</v>
      </c>
      <c r="AL347" s="1128" t="e">
        <v>#DIV/0!</v>
      </c>
      <c r="AM347" s="1128" t="e">
        <v>#DIV/0!</v>
      </c>
      <c r="AN347" s="1128" t="e">
        <v>#DIV/0!</v>
      </c>
      <c r="AO347" s="1128" t="e">
        <v>#DIV/0!</v>
      </c>
      <c r="AP347" s="1128" t="e">
        <v>#DIV/0!</v>
      </c>
      <c r="AQ347" s="1128" t="e">
        <v>#DIV/0!</v>
      </c>
      <c r="AR347" s="1128" t="e">
        <v>#DIV/0!</v>
      </c>
      <c r="AS347" s="1128" t="e">
        <v>#DIV/0!</v>
      </c>
      <c r="AT347" s="1128" t="e">
        <v>#DIV/0!</v>
      </c>
      <c r="AU347" s="1128" t="e">
        <v>#DIV/0!</v>
      </c>
    </row>
    <row r="348" spans="2:47" s="1077" customFormat="1" ht="15" customHeight="1" x14ac:dyDescent="0.25">
      <c r="B348" s="1153" t="s">
        <v>829</v>
      </c>
      <c r="C348" s="1154"/>
      <c r="D348" s="1111" t="s">
        <v>993</v>
      </c>
      <c r="E348" s="1076" t="s">
        <v>1560</v>
      </c>
      <c r="F348" s="1076" t="s">
        <v>1560</v>
      </c>
      <c r="G348" s="1076" t="s">
        <v>1560</v>
      </c>
      <c r="H348" s="1076" t="s">
        <v>1560</v>
      </c>
      <c r="I348" s="1076" t="s">
        <v>1560</v>
      </c>
      <c r="J348" s="1076" t="s">
        <v>1560</v>
      </c>
      <c r="K348" s="1076" t="s">
        <v>1560</v>
      </c>
      <c r="L348" s="1076" t="s">
        <v>1560</v>
      </c>
      <c r="M348" s="1076" t="s">
        <v>1560</v>
      </c>
      <c r="N348" s="1076" t="s">
        <v>1560</v>
      </c>
      <c r="O348" s="1076" t="s">
        <v>1560</v>
      </c>
      <c r="P348" s="1076" t="s">
        <v>1560</v>
      </c>
      <c r="Q348" s="1076" t="s">
        <v>1562</v>
      </c>
      <c r="R348" s="1076" t="s">
        <v>1562</v>
      </c>
      <c r="S348" s="1076" t="s">
        <v>1560</v>
      </c>
      <c r="T348" s="1076" t="s">
        <v>1560</v>
      </c>
      <c r="U348" s="1076" t="s">
        <v>1560</v>
      </c>
      <c r="V348" s="1076" t="s">
        <v>1560</v>
      </c>
      <c r="W348" s="1076" t="s">
        <v>1560</v>
      </c>
      <c r="X348" s="1076" t="s">
        <v>1560</v>
      </c>
      <c r="Y348" s="1076" t="s">
        <v>1560</v>
      </c>
      <c r="Z348" s="1076" t="s">
        <v>1560</v>
      </c>
      <c r="AA348" s="1076" t="s">
        <v>1560</v>
      </c>
      <c r="AB348" s="1076" t="s">
        <v>1560</v>
      </c>
      <c r="AC348" s="1076" t="s">
        <v>1560</v>
      </c>
      <c r="AD348" s="1076" t="s">
        <v>1560</v>
      </c>
      <c r="AE348" s="1076" t="s">
        <v>1560</v>
      </c>
      <c r="AF348" s="1076" t="s">
        <v>1560</v>
      </c>
      <c r="AG348" s="1076" t="s">
        <v>1560</v>
      </c>
      <c r="AH348" s="1076" t="s">
        <v>1560</v>
      </c>
      <c r="AI348" s="1076" t="s">
        <v>1560</v>
      </c>
      <c r="AJ348" s="1076" t="s">
        <v>1560</v>
      </c>
      <c r="AK348" s="1076" t="s">
        <v>1560</v>
      </c>
      <c r="AL348" s="1076" t="s">
        <v>1563</v>
      </c>
      <c r="AM348" s="1076" t="s">
        <v>1560</v>
      </c>
      <c r="AN348" s="1076" t="s">
        <v>1560</v>
      </c>
      <c r="AO348" s="1076" t="s">
        <v>1560</v>
      </c>
      <c r="AP348" s="1076" t="s">
        <v>1560</v>
      </c>
      <c r="AQ348" s="1076" t="s">
        <v>1560</v>
      </c>
      <c r="AR348" s="1076" t="s">
        <v>1560</v>
      </c>
      <c r="AS348" s="1076" t="s">
        <v>1560</v>
      </c>
      <c r="AT348" s="1076" t="s">
        <v>1560</v>
      </c>
      <c r="AU348" s="1076" t="s">
        <v>1560</v>
      </c>
    </row>
    <row r="349" spans="2:47" s="1077" customFormat="1" ht="15" customHeight="1" x14ac:dyDescent="0.25">
      <c r="B349" s="1155" t="s">
        <v>828</v>
      </c>
      <c r="C349" s="1154"/>
      <c r="D349" s="1111" t="s">
        <v>830</v>
      </c>
      <c r="E349" s="1128" t="e">
        <v>#DIV/0!</v>
      </c>
      <c r="F349" s="1128" t="e">
        <v>#DIV/0!</v>
      </c>
      <c r="G349" s="1128" t="e">
        <v>#DIV/0!</v>
      </c>
      <c r="H349" s="1128" t="e">
        <v>#DIV/0!</v>
      </c>
      <c r="I349" s="1128" t="e">
        <v>#DIV/0!</v>
      </c>
      <c r="J349" s="1128" t="e">
        <v>#DIV/0!</v>
      </c>
      <c r="K349" s="1128" t="e">
        <v>#DIV/0!</v>
      </c>
      <c r="L349" s="1128" t="e">
        <v>#DIV/0!</v>
      </c>
      <c r="M349" s="1128" t="e">
        <v>#DIV/0!</v>
      </c>
      <c r="N349" s="1128" t="e">
        <v>#DIV/0!</v>
      </c>
      <c r="O349" s="1128" t="e">
        <v>#DIV/0!</v>
      </c>
      <c r="P349" s="1128" t="e">
        <v>#DIV/0!</v>
      </c>
      <c r="Q349" s="1128" t="e">
        <v>#DIV/0!</v>
      </c>
      <c r="R349" s="1128" t="e">
        <v>#DIV/0!</v>
      </c>
      <c r="S349" s="1128" t="e">
        <v>#DIV/0!</v>
      </c>
      <c r="T349" s="1128" t="e">
        <v>#DIV/0!</v>
      </c>
      <c r="U349" s="1128" t="e">
        <v>#DIV/0!</v>
      </c>
      <c r="V349" s="1128" t="e">
        <v>#DIV/0!</v>
      </c>
      <c r="W349" s="1128" t="e">
        <v>#DIV/0!</v>
      </c>
      <c r="X349" s="1128" t="e">
        <v>#DIV/0!</v>
      </c>
      <c r="Y349" s="1128" t="e">
        <v>#DIV/0!</v>
      </c>
      <c r="Z349" s="1128" t="e">
        <v>#DIV/0!</v>
      </c>
      <c r="AA349" s="1128" t="e">
        <v>#DIV/0!</v>
      </c>
      <c r="AB349" s="1128" t="e">
        <v>#DIV/0!</v>
      </c>
      <c r="AC349" s="1128" t="e">
        <v>#DIV/0!</v>
      </c>
      <c r="AD349" s="1128" t="e">
        <v>#DIV/0!</v>
      </c>
      <c r="AE349" s="1128" t="e">
        <v>#DIV/0!</v>
      </c>
      <c r="AF349" s="1128" t="e">
        <v>#DIV/0!</v>
      </c>
      <c r="AG349" s="1128" t="e">
        <v>#DIV/0!</v>
      </c>
      <c r="AH349" s="1128" t="e">
        <v>#DIV/0!</v>
      </c>
      <c r="AI349" s="1128" t="e">
        <v>#DIV/0!</v>
      </c>
      <c r="AJ349" s="1128" t="e">
        <v>#DIV/0!</v>
      </c>
      <c r="AK349" s="1128" t="e">
        <v>#DIV/0!</v>
      </c>
      <c r="AL349" s="1128" t="e">
        <v>#DIV/0!</v>
      </c>
      <c r="AM349" s="1128" t="e">
        <v>#DIV/0!</v>
      </c>
      <c r="AN349" s="1128" t="e">
        <v>#DIV/0!</v>
      </c>
      <c r="AO349" s="1128" t="e">
        <v>#DIV/0!</v>
      </c>
      <c r="AP349" s="1128" t="e">
        <v>#DIV/0!</v>
      </c>
      <c r="AQ349" s="1128" t="e">
        <v>#DIV/0!</v>
      </c>
      <c r="AR349" s="1128" t="e">
        <v>#DIV/0!</v>
      </c>
      <c r="AS349" s="1128" t="e">
        <v>#DIV/0!</v>
      </c>
      <c r="AT349" s="1128" t="e">
        <v>#DIV/0!</v>
      </c>
      <c r="AU349" s="1128" t="e">
        <v>#DIV/0!</v>
      </c>
    </row>
    <row r="350" spans="2:47" s="1077" customFormat="1" ht="30" x14ac:dyDescent="0.25">
      <c r="B350" s="1130" t="s">
        <v>827</v>
      </c>
      <c r="C350" s="1125"/>
      <c r="D350" s="1132" t="s">
        <v>831</v>
      </c>
      <c r="E350" s="1128" t="e">
        <v>#DIV/0!</v>
      </c>
      <c r="F350" s="1128" t="e">
        <v>#DIV/0!</v>
      </c>
      <c r="G350" s="1128" t="e">
        <v>#DIV/0!</v>
      </c>
      <c r="H350" s="1128" t="e">
        <v>#DIV/0!</v>
      </c>
      <c r="I350" s="1128" t="e">
        <v>#DIV/0!</v>
      </c>
      <c r="J350" s="1128" t="e">
        <v>#DIV/0!</v>
      </c>
      <c r="K350" s="1128" t="e">
        <v>#DIV/0!</v>
      </c>
      <c r="L350" s="1128" t="e">
        <v>#DIV/0!</v>
      </c>
      <c r="M350" s="1128" t="e">
        <v>#DIV/0!</v>
      </c>
      <c r="N350" s="1128" t="e">
        <v>#DIV/0!</v>
      </c>
      <c r="O350" s="1128" t="e">
        <v>#DIV/0!</v>
      </c>
      <c r="P350" s="1128" t="e">
        <v>#DIV/0!</v>
      </c>
      <c r="Q350" s="1128" t="e">
        <v>#DIV/0!</v>
      </c>
      <c r="R350" s="1128" t="e">
        <v>#DIV/0!</v>
      </c>
      <c r="S350" s="1128" t="e">
        <v>#DIV/0!</v>
      </c>
      <c r="T350" s="1128" t="e">
        <v>#DIV/0!</v>
      </c>
      <c r="U350" s="1128" t="e">
        <v>#DIV/0!</v>
      </c>
      <c r="V350" s="1128" t="e">
        <v>#DIV/0!</v>
      </c>
      <c r="W350" s="1128" t="e">
        <v>#DIV/0!</v>
      </c>
      <c r="X350" s="1128" t="e">
        <v>#DIV/0!</v>
      </c>
      <c r="Y350" s="1128" t="e">
        <v>#DIV/0!</v>
      </c>
      <c r="Z350" s="1128" t="e">
        <v>#DIV/0!</v>
      </c>
      <c r="AA350" s="1128" t="e">
        <v>#DIV/0!</v>
      </c>
      <c r="AB350" s="1128" t="e">
        <v>#DIV/0!</v>
      </c>
      <c r="AC350" s="1128" t="e">
        <v>#DIV/0!</v>
      </c>
      <c r="AD350" s="1128" t="e">
        <v>#DIV/0!</v>
      </c>
      <c r="AE350" s="1128" t="e">
        <v>#DIV/0!</v>
      </c>
      <c r="AF350" s="1128" t="e">
        <v>#DIV/0!</v>
      </c>
      <c r="AG350" s="1128" t="e">
        <v>#DIV/0!</v>
      </c>
      <c r="AH350" s="1128" t="e">
        <v>#DIV/0!</v>
      </c>
      <c r="AI350" s="1128" t="e">
        <v>#DIV/0!</v>
      </c>
      <c r="AJ350" s="1128" t="e">
        <v>#DIV/0!</v>
      </c>
      <c r="AK350" s="1128" t="e">
        <v>#DIV/0!</v>
      </c>
      <c r="AL350" s="1128" t="e">
        <v>#DIV/0!</v>
      </c>
      <c r="AM350" s="1128" t="e">
        <v>#DIV/0!</v>
      </c>
      <c r="AN350" s="1128" t="e">
        <v>#DIV/0!</v>
      </c>
      <c r="AO350" s="1128" t="e">
        <v>#DIV/0!</v>
      </c>
      <c r="AP350" s="1128" t="e">
        <v>#DIV/0!</v>
      </c>
      <c r="AQ350" s="1128" t="e">
        <v>#DIV/0!</v>
      </c>
      <c r="AR350" s="1128" t="e">
        <v>#DIV/0!</v>
      </c>
      <c r="AS350" s="1128" t="e">
        <v>#DIV/0!</v>
      </c>
      <c r="AT350" s="1128" t="e">
        <v>#DIV/0!</v>
      </c>
      <c r="AU350" s="1128" t="e">
        <v>#DIV/0!</v>
      </c>
    </row>
    <row r="351" spans="2:47" s="1077" customFormat="1" ht="15" customHeight="1" x14ac:dyDescent="0.25">
      <c r="B351" s="1156" t="s">
        <v>833</v>
      </c>
      <c r="C351" s="1157"/>
      <c r="D351" s="1133" t="s">
        <v>994</v>
      </c>
      <c r="E351" s="1076" t="s">
        <v>1560</v>
      </c>
      <c r="F351" s="1076" t="s">
        <v>1560</v>
      </c>
      <c r="G351" s="1076" t="s">
        <v>1560</v>
      </c>
      <c r="H351" s="1076" t="s">
        <v>1560</v>
      </c>
      <c r="I351" s="1076" t="s">
        <v>1560</v>
      </c>
      <c r="J351" s="1076" t="s">
        <v>1560</v>
      </c>
      <c r="K351" s="1076" t="s">
        <v>1560</v>
      </c>
      <c r="L351" s="1076" t="s">
        <v>1560</v>
      </c>
      <c r="M351" s="1076" t="s">
        <v>1560</v>
      </c>
      <c r="N351" s="1076" t="s">
        <v>1560</v>
      </c>
      <c r="O351" s="1076" t="s">
        <v>1560</v>
      </c>
      <c r="P351" s="1076" t="s">
        <v>1560</v>
      </c>
      <c r="Q351" s="1076" t="s">
        <v>1562</v>
      </c>
      <c r="R351" s="1076" t="s">
        <v>1562</v>
      </c>
      <c r="S351" s="1076" t="s">
        <v>1560</v>
      </c>
      <c r="T351" s="1076" t="s">
        <v>1560</v>
      </c>
      <c r="U351" s="1076" t="s">
        <v>1560</v>
      </c>
      <c r="V351" s="1076" t="s">
        <v>1560</v>
      </c>
      <c r="W351" s="1076" t="s">
        <v>1560</v>
      </c>
      <c r="X351" s="1076" t="s">
        <v>1560</v>
      </c>
      <c r="Y351" s="1076" t="s">
        <v>1560</v>
      </c>
      <c r="Z351" s="1076" t="s">
        <v>1560</v>
      </c>
      <c r="AA351" s="1076" t="s">
        <v>1560</v>
      </c>
      <c r="AB351" s="1076" t="s">
        <v>1560</v>
      </c>
      <c r="AC351" s="1076" t="s">
        <v>1560</v>
      </c>
      <c r="AD351" s="1076" t="s">
        <v>1560</v>
      </c>
      <c r="AE351" s="1076" t="s">
        <v>1560</v>
      </c>
      <c r="AF351" s="1076" t="s">
        <v>1560</v>
      </c>
      <c r="AG351" s="1076" t="s">
        <v>1560</v>
      </c>
      <c r="AH351" s="1076" t="s">
        <v>1560</v>
      </c>
      <c r="AI351" s="1076" t="s">
        <v>1560</v>
      </c>
      <c r="AJ351" s="1076" t="s">
        <v>1560</v>
      </c>
      <c r="AK351" s="1076" t="s">
        <v>1560</v>
      </c>
      <c r="AL351" s="1076" t="s">
        <v>1563</v>
      </c>
      <c r="AM351" s="1076" t="s">
        <v>1560</v>
      </c>
      <c r="AN351" s="1076" t="s">
        <v>1560</v>
      </c>
      <c r="AO351" s="1076" t="s">
        <v>1560</v>
      </c>
      <c r="AP351" s="1076" t="s">
        <v>1560</v>
      </c>
      <c r="AQ351" s="1076" t="s">
        <v>1560</v>
      </c>
      <c r="AR351" s="1076" t="s">
        <v>1560</v>
      </c>
      <c r="AS351" s="1076" t="s">
        <v>1560</v>
      </c>
      <c r="AT351" s="1076" t="s">
        <v>1560</v>
      </c>
      <c r="AU351" s="1076" t="s">
        <v>1560</v>
      </c>
    </row>
    <row r="352" spans="2:47" s="1077" customFormat="1" ht="15" customHeight="1" x14ac:dyDescent="0.25">
      <c r="B352" s="1156" t="s">
        <v>834</v>
      </c>
      <c r="C352" s="1157"/>
      <c r="D352" s="1133" t="s">
        <v>835</v>
      </c>
      <c r="E352" s="1128" t="e">
        <v>#DIV/0!</v>
      </c>
      <c r="F352" s="1128" t="e">
        <v>#DIV/0!</v>
      </c>
      <c r="G352" s="1128" t="e">
        <v>#DIV/0!</v>
      </c>
      <c r="H352" s="1128" t="e">
        <v>#DIV/0!</v>
      </c>
      <c r="I352" s="1128" t="e">
        <v>#DIV/0!</v>
      </c>
      <c r="J352" s="1128" t="e">
        <v>#DIV/0!</v>
      </c>
      <c r="K352" s="1128" t="e">
        <v>#DIV/0!</v>
      </c>
      <c r="L352" s="1128" t="e">
        <v>#DIV/0!</v>
      </c>
      <c r="M352" s="1128" t="e">
        <v>#DIV/0!</v>
      </c>
      <c r="N352" s="1128" t="e">
        <v>#DIV/0!</v>
      </c>
      <c r="O352" s="1128" t="e">
        <v>#DIV/0!</v>
      </c>
      <c r="P352" s="1128" t="e">
        <v>#DIV/0!</v>
      </c>
      <c r="Q352" s="1128" t="e">
        <v>#DIV/0!</v>
      </c>
      <c r="R352" s="1128" t="e">
        <v>#DIV/0!</v>
      </c>
      <c r="S352" s="1128" t="e">
        <v>#DIV/0!</v>
      </c>
      <c r="T352" s="1128" t="e">
        <v>#DIV/0!</v>
      </c>
      <c r="U352" s="1128" t="e">
        <v>#DIV/0!</v>
      </c>
      <c r="V352" s="1128" t="e">
        <v>#DIV/0!</v>
      </c>
      <c r="W352" s="1128" t="e">
        <v>#DIV/0!</v>
      </c>
      <c r="X352" s="1128" t="e">
        <v>#DIV/0!</v>
      </c>
      <c r="Y352" s="1128" t="e">
        <v>#DIV/0!</v>
      </c>
      <c r="Z352" s="1128" t="e">
        <v>#DIV/0!</v>
      </c>
      <c r="AA352" s="1128" t="e">
        <v>#DIV/0!</v>
      </c>
      <c r="AB352" s="1128" t="e">
        <v>#DIV/0!</v>
      </c>
      <c r="AC352" s="1128" t="e">
        <v>#DIV/0!</v>
      </c>
      <c r="AD352" s="1128" t="e">
        <v>#DIV/0!</v>
      </c>
      <c r="AE352" s="1128" t="e">
        <v>#DIV/0!</v>
      </c>
      <c r="AF352" s="1128" t="e">
        <v>#DIV/0!</v>
      </c>
      <c r="AG352" s="1128" t="e">
        <v>#DIV/0!</v>
      </c>
      <c r="AH352" s="1128" t="e">
        <v>#DIV/0!</v>
      </c>
      <c r="AI352" s="1128" t="e">
        <v>#DIV/0!</v>
      </c>
      <c r="AJ352" s="1128" t="e">
        <v>#DIV/0!</v>
      </c>
      <c r="AK352" s="1128" t="e">
        <v>#DIV/0!</v>
      </c>
      <c r="AL352" s="1128" t="e">
        <v>#DIV/0!</v>
      </c>
      <c r="AM352" s="1128" t="e">
        <v>#DIV/0!</v>
      </c>
      <c r="AN352" s="1128" t="e">
        <v>#DIV/0!</v>
      </c>
      <c r="AO352" s="1128" t="e">
        <v>#DIV/0!</v>
      </c>
      <c r="AP352" s="1128" t="e">
        <v>#DIV/0!</v>
      </c>
      <c r="AQ352" s="1128" t="e">
        <v>#DIV/0!</v>
      </c>
      <c r="AR352" s="1128" t="e">
        <v>#DIV/0!</v>
      </c>
      <c r="AS352" s="1128" t="e">
        <v>#DIV/0!</v>
      </c>
      <c r="AT352" s="1128" t="e">
        <v>#DIV/0!</v>
      </c>
      <c r="AU352" s="1128" t="e">
        <v>#DIV/0!</v>
      </c>
    </row>
    <row r="353" spans="1:47" s="1077" customFormat="1" ht="45" x14ac:dyDescent="0.25">
      <c r="A353" s="99"/>
      <c r="B353" s="1134" t="s">
        <v>1545</v>
      </c>
      <c r="C353" s="1125"/>
      <c r="D353" s="1131" t="s">
        <v>850</v>
      </c>
      <c r="E353" s="1135">
        <v>0</v>
      </c>
      <c r="F353" s="1135">
        <v>0</v>
      </c>
      <c r="G353" s="1135">
        <v>0</v>
      </c>
      <c r="H353" s="1135">
        <v>0</v>
      </c>
      <c r="I353" s="1135">
        <v>0</v>
      </c>
      <c r="J353" s="1135">
        <v>0</v>
      </c>
      <c r="K353" s="1135">
        <v>0</v>
      </c>
      <c r="L353" s="1135">
        <v>0</v>
      </c>
      <c r="M353" s="1135">
        <v>0</v>
      </c>
      <c r="N353" s="1135">
        <v>0</v>
      </c>
      <c r="O353" s="1135">
        <v>0</v>
      </c>
      <c r="P353" s="1135">
        <v>0</v>
      </c>
      <c r="Q353" s="1135">
        <v>0</v>
      </c>
      <c r="R353" s="1135">
        <v>0</v>
      </c>
      <c r="S353" s="1135">
        <v>0</v>
      </c>
      <c r="T353" s="1135">
        <v>0</v>
      </c>
      <c r="U353" s="1135">
        <v>0</v>
      </c>
      <c r="V353" s="1135">
        <v>0</v>
      </c>
      <c r="W353" s="1135">
        <v>0</v>
      </c>
      <c r="X353" s="1135">
        <v>0</v>
      </c>
      <c r="Y353" s="1135">
        <v>0</v>
      </c>
      <c r="Z353" s="1135">
        <v>0</v>
      </c>
      <c r="AA353" s="1135">
        <v>0</v>
      </c>
      <c r="AB353" s="1135">
        <v>0</v>
      </c>
      <c r="AC353" s="1135">
        <v>0</v>
      </c>
      <c r="AD353" s="1135">
        <v>0</v>
      </c>
      <c r="AE353" s="1135">
        <v>0</v>
      </c>
      <c r="AF353" s="1135">
        <v>0</v>
      </c>
      <c r="AG353" s="1135">
        <v>0</v>
      </c>
      <c r="AH353" s="1135">
        <v>0</v>
      </c>
      <c r="AI353" s="1135">
        <v>0</v>
      </c>
      <c r="AJ353" s="1135">
        <v>0</v>
      </c>
      <c r="AK353" s="1135">
        <v>0</v>
      </c>
      <c r="AL353" s="1135">
        <v>0</v>
      </c>
      <c r="AM353" s="1135">
        <v>0</v>
      </c>
      <c r="AN353" s="1135">
        <v>0</v>
      </c>
      <c r="AO353" s="1135">
        <v>0</v>
      </c>
      <c r="AP353" s="1135">
        <v>0</v>
      </c>
      <c r="AQ353" s="1135">
        <v>0</v>
      </c>
      <c r="AR353" s="1135">
        <v>0</v>
      </c>
      <c r="AS353" s="1135">
        <v>0</v>
      </c>
      <c r="AT353" s="1135">
        <v>0</v>
      </c>
      <c r="AU353" s="1135">
        <v>0</v>
      </c>
    </row>
    <row r="354" spans="1:47" s="1077" customFormat="1" ht="45" x14ac:dyDescent="0.25">
      <c r="A354" s="99"/>
      <c r="B354" s="1130" t="s">
        <v>849</v>
      </c>
      <c r="C354" s="1125"/>
      <c r="D354" s="1131"/>
      <c r="E354" s="1135"/>
      <c r="F354" s="99"/>
      <c r="G354" s="99"/>
      <c r="H354" s="99"/>
      <c r="I354" s="99"/>
      <c r="J354" s="99"/>
      <c r="K354" s="99"/>
      <c r="L354" s="99"/>
      <c r="M354" s="99"/>
      <c r="N354" s="99"/>
      <c r="O354" s="99"/>
      <c r="P354" s="99"/>
      <c r="Q354" s="99"/>
      <c r="R354" s="99"/>
      <c r="S354" s="99"/>
      <c r="T354" s="99"/>
      <c r="U354" s="99"/>
      <c r="V354" s="99"/>
      <c r="W354" s="99"/>
      <c r="X354" s="99"/>
      <c r="Y354" s="99"/>
      <c r="Z354" s="99"/>
      <c r="AA354" s="99"/>
      <c r="AB354" s="99"/>
      <c r="AC354" s="99"/>
      <c r="AD354" s="99"/>
      <c r="AE354" s="99"/>
      <c r="AF354" s="99"/>
      <c r="AG354" s="99"/>
      <c r="AH354" s="99"/>
      <c r="AI354" s="99"/>
      <c r="AJ354" s="99"/>
      <c r="AK354" s="99"/>
      <c r="AL354" s="99"/>
      <c r="AM354" s="99"/>
      <c r="AN354" s="99"/>
      <c r="AO354" s="99"/>
      <c r="AP354" s="99"/>
      <c r="AQ354" s="99"/>
      <c r="AR354" s="99"/>
      <c r="AS354" s="99"/>
      <c r="AT354" s="99"/>
      <c r="AU354" s="99"/>
    </row>
    <row r="355" spans="1:47" s="1077" customFormat="1" x14ac:dyDescent="0.25">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c r="AA355" s="99"/>
      <c r="AB355" s="99"/>
      <c r="AC355" s="99"/>
      <c r="AD355" s="99"/>
      <c r="AE355" s="99"/>
      <c r="AF355" s="99"/>
      <c r="AG355" s="99"/>
      <c r="AH355" s="99"/>
      <c r="AI355" s="99"/>
      <c r="AJ355" s="99"/>
      <c r="AK355" s="99"/>
      <c r="AL355" s="99"/>
      <c r="AM355" s="99"/>
      <c r="AN355" s="99"/>
      <c r="AO355" s="99"/>
      <c r="AP355" s="99"/>
      <c r="AQ355" s="99"/>
      <c r="AR355" s="99"/>
      <c r="AS355" s="99"/>
      <c r="AT355" s="99"/>
      <c r="AU355" s="99"/>
    </row>
    <row r="356" spans="1:47" s="1077" customFormat="1" x14ac:dyDescent="0.25">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c r="AA356" s="99"/>
      <c r="AB356" s="99"/>
      <c r="AC356" s="99"/>
      <c r="AD356" s="99"/>
      <c r="AE356" s="99"/>
      <c r="AF356" s="99"/>
      <c r="AG356" s="99"/>
      <c r="AH356" s="99"/>
      <c r="AI356" s="99"/>
      <c r="AJ356" s="99"/>
      <c r="AK356" s="99"/>
      <c r="AL356" s="99"/>
      <c r="AM356" s="99"/>
      <c r="AN356" s="99"/>
      <c r="AO356" s="99"/>
      <c r="AP356" s="99"/>
      <c r="AQ356" s="99"/>
      <c r="AR356" s="99"/>
      <c r="AS356" s="99"/>
      <c r="AT356" s="99"/>
      <c r="AU356" s="99"/>
    </row>
    <row r="357" spans="1:47" x14ac:dyDescent="0.25">
      <c r="B357" s="99"/>
    </row>
    <row r="358" spans="1:47" x14ac:dyDescent="0.25">
      <c r="B358" s="99"/>
    </row>
    <row r="359" spans="1:47" x14ac:dyDescent="0.25">
      <c r="B359" s="99"/>
    </row>
    <row r="360" spans="1:47" x14ac:dyDescent="0.25">
      <c r="B360" s="99"/>
    </row>
    <row r="361" spans="1:47" x14ac:dyDescent="0.25">
      <c r="B361" s="99"/>
    </row>
    <row r="362" spans="1:47" x14ac:dyDescent="0.25">
      <c r="B362" s="99"/>
      <c r="D362" s="99" t="s">
        <v>990</v>
      </c>
      <c r="E362" s="1084">
        <v>5019982</v>
      </c>
      <c r="F362" s="1084">
        <v>6210334</v>
      </c>
      <c r="G362" s="1084">
        <v>47599482</v>
      </c>
      <c r="H362" s="1084">
        <v>43603671</v>
      </c>
      <c r="I362" s="1084">
        <v>1197648</v>
      </c>
      <c r="J362" s="1084">
        <v>6917986</v>
      </c>
      <c r="K362" s="1084">
        <v>25345895</v>
      </c>
      <c r="L362" s="1084">
        <v>0</v>
      </c>
      <c r="M362" s="1084">
        <v>38380688</v>
      </c>
      <c r="N362" s="1084">
        <v>65373789</v>
      </c>
      <c r="O362" s="1084">
        <v>12342958</v>
      </c>
      <c r="P362" s="1084">
        <v>1344962</v>
      </c>
      <c r="Q362" s="1084">
        <v>50890561</v>
      </c>
      <c r="R362" s="1084">
        <v>0</v>
      </c>
      <c r="S362" s="1084">
        <v>2991840</v>
      </c>
      <c r="T362" s="1084">
        <v>0</v>
      </c>
      <c r="U362" s="1084">
        <v>1821544</v>
      </c>
      <c r="V362" s="1084">
        <v>50016760</v>
      </c>
      <c r="W362" s="1084">
        <v>65570574</v>
      </c>
      <c r="X362" s="1084">
        <v>1664498</v>
      </c>
      <c r="Y362" s="1084">
        <v>8762748</v>
      </c>
      <c r="Z362" s="1084">
        <v>2481131</v>
      </c>
      <c r="AA362" s="1084">
        <v>12025492</v>
      </c>
      <c r="AB362" s="1084">
        <v>0</v>
      </c>
      <c r="AC362" s="1084">
        <v>2371337</v>
      </c>
      <c r="AD362" s="1084">
        <v>1906633</v>
      </c>
      <c r="AE362" s="1084">
        <v>5328111</v>
      </c>
      <c r="AF362" s="1084">
        <v>549349296</v>
      </c>
      <c r="AG362" s="1084">
        <v>43781495</v>
      </c>
      <c r="AH362" s="1084">
        <v>1467526</v>
      </c>
      <c r="AI362" s="1084">
        <v>0</v>
      </c>
      <c r="AJ362" s="1084">
        <v>233797889</v>
      </c>
      <c r="AK362" s="1084">
        <v>42868052</v>
      </c>
      <c r="AL362" s="1084">
        <v>2018551696</v>
      </c>
      <c r="AM362" s="1084">
        <v>12789758</v>
      </c>
      <c r="AN362" s="1084">
        <v>3666946</v>
      </c>
      <c r="AO362" s="1084">
        <v>2748344</v>
      </c>
      <c r="AP362" s="1084">
        <v>1026908</v>
      </c>
      <c r="AQ362" s="1084">
        <v>1764166</v>
      </c>
      <c r="AR362" s="1084">
        <v>25736277</v>
      </c>
      <c r="AS362" s="1084">
        <v>18663274</v>
      </c>
      <c r="AT362" s="1084">
        <v>5064793</v>
      </c>
      <c r="AU362" s="1084">
        <v>3145001</v>
      </c>
    </row>
    <row r="363" spans="1:47" x14ac:dyDescent="0.25">
      <c r="B363" s="99"/>
      <c r="D363" s="99" t="s">
        <v>991</v>
      </c>
      <c r="E363" s="1087">
        <v>5019982</v>
      </c>
      <c r="F363" s="1087">
        <v>6210334</v>
      </c>
      <c r="G363" s="1087">
        <v>47599482</v>
      </c>
      <c r="H363" s="1087">
        <v>43603671</v>
      </c>
      <c r="I363" s="1087">
        <v>1197648</v>
      </c>
      <c r="J363" s="1087">
        <v>6917986</v>
      </c>
      <c r="K363" s="1087">
        <v>25345895</v>
      </c>
      <c r="L363" s="99" t="s">
        <v>1564</v>
      </c>
      <c r="M363" s="1087">
        <v>38380688</v>
      </c>
      <c r="N363" s="1087">
        <v>65373789</v>
      </c>
      <c r="O363" s="1087">
        <v>12342958</v>
      </c>
      <c r="P363" s="1087">
        <v>1344962</v>
      </c>
      <c r="Q363" s="1087">
        <v>50890561</v>
      </c>
      <c r="R363" s="99" t="s">
        <v>1530</v>
      </c>
      <c r="S363" s="1087">
        <v>2991840</v>
      </c>
      <c r="T363" s="99" t="s">
        <v>1546</v>
      </c>
      <c r="U363" s="1087">
        <v>1821544</v>
      </c>
      <c r="V363" s="1087">
        <v>50016760</v>
      </c>
      <c r="W363" s="1087">
        <v>65570574</v>
      </c>
      <c r="X363" s="1087">
        <v>1664498</v>
      </c>
      <c r="Y363" s="1087">
        <v>8762748</v>
      </c>
      <c r="Z363" s="1087">
        <v>2481131</v>
      </c>
      <c r="AA363" s="1087">
        <v>12025492</v>
      </c>
      <c r="AB363" s="99" t="s">
        <v>1564</v>
      </c>
      <c r="AC363" s="1087">
        <v>2371337</v>
      </c>
      <c r="AD363" s="1087">
        <v>1906633</v>
      </c>
      <c r="AE363" s="1087">
        <v>5328111</v>
      </c>
      <c r="AF363" s="1087">
        <v>549349296</v>
      </c>
      <c r="AG363" s="1087">
        <v>43781495</v>
      </c>
      <c r="AH363" s="1087">
        <v>1467526</v>
      </c>
      <c r="AI363" s="99" t="s">
        <v>1548</v>
      </c>
      <c r="AJ363" s="1087">
        <v>233797889</v>
      </c>
      <c r="AK363" s="1087">
        <v>42868052</v>
      </c>
      <c r="AL363" s="1087">
        <v>2018551696</v>
      </c>
      <c r="AM363" s="1087">
        <v>12789758</v>
      </c>
      <c r="AN363" s="1087">
        <v>3666946</v>
      </c>
      <c r="AO363" s="1087">
        <v>2748344</v>
      </c>
      <c r="AP363" s="1087">
        <v>1026908</v>
      </c>
      <c r="AQ363" s="1087">
        <v>1764166</v>
      </c>
      <c r="AR363" s="1087">
        <v>25736277</v>
      </c>
      <c r="AS363" s="1087">
        <v>18663274</v>
      </c>
      <c r="AT363" s="1087">
        <v>5064793</v>
      </c>
      <c r="AU363" s="1087">
        <v>3145001</v>
      </c>
    </row>
    <row r="364" spans="1:47" x14ac:dyDescent="0.25">
      <c r="B364" s="99"/>
      <c r="E364" s="1105">
        <v>0</v>
      </c>
      <c r="F364" s="1105">
        <v>0</v>
      </c>
      <c r="G364" s="1105">
        <v>0</v>
      </c>
      <c r="H364" s="1105">
        <v>0</v>
      </c>
      <c r="I364" s="1105">
        <v>0</v>
      </c>
      <c r="J364" s="1105">
        <v>0</v>
      </c>
      <c r="K364" s="1105">
        <v>0</v>
      </c>
      <c r="L364" s="1105" t="e">
        <v>#VALUE!</v>
      </c>
      <c r="M364" s="1105">
        <v>0</v>
      </c>
      <c r="N364" s="1105">
        <v>0</v>
      </c>
      <c r="O364" s="1105">
        <v>0</v>
      </c>
      <c r="P364" s="1105">
        <v>0</v>
      </c>
      <c r="Q364" s="1105">
        <v>0</v>
      </c>
      <c r="R364" s="1105" t="e">
        <v>#VALUE!</v>
      </c>
      <c r="S364" s="1105">
        <v>0</v>
      </c>
      <c r="T364" s="1105" t="e">
        <v>#VALUE!</v>
      </c>
      <c r="U364" s="1105">
        <v>0</v>
      </c>
      <c r="V364" s="1105">
        <v>0</v>
      </c>
      <c r="W364" s="1105">
        <v>0</v>
      </c>
      <c r="X364" s="1105">
        <v>0</v>
      </c>
      <c r="Y364" s="1105">
        <v>0</v>
      </c>
      <c r="Z364" s="1105">
        <v>0</v>
      </c>
      <c r="AA364" s="1105">
        <v>0</v>
      </c>
      <c r="AB364" s="1105" t="e">
        <v>#VALUE!</v>
      </c>
      <c r="AC364" s="1105">
        <v>0</v>
      </c>
      <c r="AD364" s="1105">
        <v>0</v>
      </c>
      <c r="AE364" s="1105">
        <v>0</v>
      </c>
      <c r="AF364" s="1105">
        <v>0</v>
      </c>
      <c r="AG364" s="1105">
        <v>0</v>
      </c>
      <c r="AH364" s="1105">
        <v>0</v>
      </c>
      <c r="AI364" s="1105" t="e">
        <v>#VALUE!</v>
      </c>
      <c r="AJ364" s="1105">
        <v>0</v>
      </c>
      <c r="AK364" s="1105">
        <v>0</v>
      </c>
      <c r="AL364" s="1105">
        <v>0</v>
      </c>
      <c r="AM364" s="1105">
        <v>0</v>
      </c>
      <c r="AN364" s="1105">
        <v>0</v>
      </c>
      <c r="AO364" s="1105">
        <v>0</v>
      </c>
      <c r="AP364" s="1105">
        <v>0</v>
      </c>
      <c r="AQ364" s="1105">
        <v>0</v>
      </c>
      <c r="AR364" s="1105">
        <v>0</v>
      </c>
      <c r="AS364" s="1105">
        <v>0</v>
      </c>
      <c r="AT364" s="1105">
        <v>0</v>
      </c>
      <c r="AU364" s="1105">
        <v>0</v>
      </c>
    </row>
    <row r="366" spans="1:47" x14ac:dyDescent="0.25">
      <c r="A366" s="99" t="s">
        <v>1549</v>
      </c>
      <c r="B366" s="99"/>
    </row>
    <row r="367" spans="1:47" x14ac:dyDescent="0.25">
      <c r="A367" s="99">
        <v>336</v>
      </c>
      <c r="B367" s="1088"/>
      <c r="C367" s="1084">
        <v>336</v>
      </c>
      <c r="D367" s="1085" t="s">
        <v>393</v>
      </c>
      <c r="E367" s="1091">
        <v>0</v>
      </c>
      <c r="F367" s="1071">
        <v>0</v>
      </c>
      <c r="G367" s="1071">
        <v>1202652</v>
      </c>
      <c r="H367" s="1071">
        <v>0</v>
      </c>
      <c r="I367" s="1071">
        <v>0</v>
      </c>
      <c r="J367" s="1072">
        <v>3868</v>
      </c>
      <c r="K367" s="1096">
        <v>58065</v>
      </c>
      <c r="L367" s="1097">
        <v>0</v>
      </c>
      <c r="M367" s="1097">
        <v>0</v>
      </c>
      <c r="N367" s="1097">
        <v>0</v>
      </c>
      <c r="O367" s="1097">
        <v>0</v>
      </c>
      <c r="P367" s="1097">
        <v>0</v>
      </c>
      <c r="Q367" s="1097">
        <v>0</v>
      </c>
      <c r="R367" s="1097">
        <v>0</v>
      </c>
      <c r="S367" s="1097">
        <v>37</v>
      </c>
      <c r="T367" s="1097">
        <v>0</v>
      </c>
      <c r="U367" s="1097">
        <v>2970</v>
      </c>
      <c r="V367" s="1097">
        <v>149372</v>
      </c>
      <c r="W367" s="1097">
        <v>0</v>
      </c>
      <c r="X367" s="1097">
        <v>553</v>
      </c>
      <c r="Y367" s="1097">
        <v>0</v>
      </c>
      <c r="Z367" s="1097">
        <v>136411</v>
      </c>
      <c r="AA367" s="1096">
        <v>0</v>
      </c>
      <c r="AB367" s="1096">
        <v>0</v>
      </c>
      <c r="AC367" s="1096">
        <v>0</v>
      </c>
      <c r="AD367" s="1096">
        <v>0</v>
      </c>
      <c r="AE367" s="1096">
        <v>4069</v>
      </c>
      <c r="AF367" s="1096">
        <v>6200379</v>
      </c>
      <c r="AG367" s="1096">
        <v>0</v>
      </c>
      <c r="AH367" s="1096">
        <v>0</v>
      </c>
      <c r="AI367" s="1096">
        <v>0</v>
      </c>
      <c r="AJ367" s="1096">
        <v>713995</v>
      </c>
      <c r="AK367" s="1096">
        <v>52754</v>
      </c>
      <c r="AL367" s="1096">
        <v>0</v>
      </c>
      <c r="AM367" s="1096">
        <v>0</v>
      </c>
      <c r="AN367" s="1096">
        <v>0</v>
      </c>
      <c r="AO367" s="1096">
        <v>866</v>
      </c>
      <c r="AP367" s="1096">
        <v>368</v>
      </c>
      <c r="AQ367" s="1096">
        <v>12511</v>
      </c>
      <c r="AR367" s="1096">
        <v>133710</v>
      </c>
      <c r="AS367" s="1096">
        <v>0</v>
      </c>
      <c r="AT367" s="1096">
        <v>0</v>
      </c>
      <c r="AU367" s="1096">
        <v>0</v>
      </c>
    </row>
    <row r="368" spans="1:47" x14ac:dyDescent="0.25">
      <c r="A368" s="99">
        <v>537</v>
      </c>
      <c r="B368" s="1088"/>
      <c r="C368" s="1098">
        <v>537</v>
      </c>
      <c r="D368" s="1098" t="s">
        <v>295</v>
      </c>
      <c r="E368" s="1091">
        <v>0</v>
      </c>
      <c r="F368" s="1071">
        <v>0</v>
      </c>
      <c r="G368" s="1071">
        <v>0</v>
      </c>
      <c r="H368" s="1071">
        <v>0</v>
      </c>
      <c r="I368" s="1071">
        <v>0</v>
      </c>
      <c r="J368" s="1072">
        <v>0</v>
      </c>
      <c r="K368" s="1096">
        <v>0</v>
      </c>
      <c r="L368" s="1097">
        <v>0</v>
      </c>
      <c r="M368" s="1097">
        <v>0</v>
      </c>
      <c r="N368" s="1097">
        <v>0</v>
      </c>
      <c r="O368" s="1097">
        <v>0</v>
      </c>
      <c r="P368" s="1097">
        <v>0</v>
      </c>
      <c r="Q368" s="1097">
        <v>0</v>
      </c>
      <c r="R368" s="1097">
        <v>0</v>
      </c>
      <c r="S368" s="1097">
        <v>0</v>
      </c>
      <c r="T368" s="1097">
        <v>0</v>
      </c>
      <c r="U368" s="1097">
        <v>0</v>
      </c>
      <c r="V368" s="1097">
        <v>0</v>
      </c>
      <c r="W368" s="1097">
        <v>0</v>
      </c>
      <c r="X368" s="1097">
        <v>0</v>
      </c>
      <c r="Y368" s="1097">
        <v>0</v>
      </c>
      <c r="Z368" s="1097">
        <v>0</v>
      </c>
      <c r="AA368" s="1096">
        <v>0</v>
      </c>
      <c r="AB368" s="1096">
        <v>0</v>
      </c>
      <c r="AC368" s="1096">
        <v>0</v>
      </c>
      <c r="AD368" s="1096">
        <v>0</v>
      </c>
      <c r="AE368" s="1096">
        <v>0</v>
      </c>
      <c r="AF368" s="1096">
        <v>0</v>
      </c>
      <c r="AG368" s="1096">
        <v>0</v>
      </c>
      <c r="AH368" s="1096">
        <v>0</v>
      </c>
      <c r="AI368" s="1096">
        <v>0</v>
      </c>
      <c r="AJ368" s="1096">
        <v>0</v>
      </c>
      <c r="AK368" s="1096">
        <v>0</v>
      </c>
      <c r="AL368" s="1096">
        <v>0</v>
      </c>
      <c r="AM368" s="1096">
        <v>0</v>
      </c>
      <c r="AN368" s="1096">
        <v>0</v>
      </c>
      <c r="AO368" s="1096">
        <v>0</v>
      </c>
      <c r="AP368" s="1096">
        <v>0</v>
      </c>
      <c r="AQ368" s="1096">
        <v>0</v>
      </c>
      <c r="AR368" s="1096">
        <v>0</v>
      </c>
      <c r="AS368" s="1096">
        <v>0</v>
      </c>
      <c r="AT368" s="1096">
        <v>0</v>
      </c>
      <c r="AU368" s="1096">
        <v>0</v>
      </c>
    </row>
    <row r="369" spans="1:47" x14ac:dyDescent="0.25">
      <c r="A369" s="99">
        <v>538</v>
      </c>
      <c r="B369" s="1088"/>
      <c r="C369" s="1098">
        <v>538</v>
      </c>
      <c r="D369" s="1098" t="s">
        <v>294</v>
      </c>
      <c r="E369" s="1091">
        <v>0</v>
      </c>
      <c r="F369" s="1071">
        <v>0</v>
      </c>
      <c r="G369" s="1071">
        <v>0</v>
      </c>
      <c r="H369" s="1071">
        <v>0</v>
      </c>
      <c r="I369" s="1071">
        <v>0</v>
      </c>
      <c r="J369" s="1072">
        <v>0</v>
      </c>
      <c r="K369" s="1096">
        <v>0</v>
      </c>
      <c r="L369" s="1097">
        <v>0</v>
      </c>
      <c r="M369" s="1097">
        <v>0</v>
      </c>
      <c r="N369" s="1097">
        <v>0</v>
      </c>
      <c r="O369" s="1097">
        <v>0</v>
      </c>
      <c r="P369" s="1097">
        <v>0</v>
      </c>
      <c r="Q369" s="1097">
        <v>0</v>
      </c>
      <c r="R369" s="1097">
        <v>0</v>
      </c>
      <c r="S369" s="1097">
        <v>0</v>
      </c>
      <c r="T369" s="1097">
        <v>0</v>
      </c>
      <c r="U369" s="1097">
        <v>0</v>
      </c>
      <c r="V369" s="1097">
        <v>0</v>
      </c>
      <c r="W369" s="1097">
        <v>0</v>
      </c>
      <c r="X369" s="1097">
        <v>0</v>
      </c>
      <c r="Y369" s="1097">
        <v>0</v>
      </c>
      <c r="Z369" s="1097">
        <v>0</v>
      </c>
      <c r="AA369" s="1096">
        <v>0</v>
      </c>
      <c r="AB369" s="1096">
        <v>0</v>
      </c>
      <c r="AC369" s="1096">
        <v>0</v>
      </c>
      <c r="AD369" s="1096">
        <v>0</v>
      </c>
      <c r="AE369" s="1096">
        <v>0</v>
      </c>
      <c r="AF369" s="1096">
        <v>0</v>
      </c>
      <c r="AG369" s="1096">
        <v>0</v>
      </c>
      <c r="AH369" s="1096">
        <v>0</v>
      </c>
      <c r="AI369" s="1096">
        <v>0</v>
      </c>
      <c r="AJ369" s="1096">
        <v>0</v>
      </c>
      <c r="AK369" s="1096">
        <v>0</v>
      </c>
      <c r="AL369" s="1096">
        <v>0</v>
      </c>
      <c r="AM369" s="1096">
        <v>0</v>
      </c>
      <c r="AN369" s="1096">
        <v>0</v>
      </c>
      <c r="AO369" s="1096">
        <v>0</v>
      </c>
      <c r="AP369" s="1096">
        <v>0</v>
      </c>
      <c r="AQ369" s="1096">
        <v>0</v>
      </c>
      <c r="AR369" s="1096">
        <v>0</v>
      </c>
      <c r="AS369" s="1096">
        <v>0</v>
      </c>
      <c r="AT369" s="1096">
        <v>0</v>
      </c>
      <c r="AU369" s="1096">
        <v>0</v>
      </c>
    </row>
    <row r="370" spans="1:47" x14ac:dyDescent="0.25">
      <c r="A370" s="99">
        <v>554</v>
      </c>
      <c r="B370" s="1088">
        <v>554</v>
      </c>
      <c r="C370" s="1098">
        <v>554</v>
      </c>
      <c r="D370" s="1098" t="s">
        <v>365</v>
      </c>
      <c r="E370" s="1091">
        <v>753499</v>
      </c>
      <c r="F370" s="1071">
        <v>0</v>
      </c>
      <c r="G370" s="1071">
        <v>0</v>
      </c>
      <c r="H370" s="1071">
        <v>1615443</v>
      </c>
      <c r="I370" s="1071">
        <v>0</v>
      </c>
      <c r="J370" s="1072">
        <v>0</v>
      </c>
      <c r="K370" s="1096">
        <v>0</v>
      </c>
      <c r="L370" s="1097">
        <v>0</v>
      </c>
      <c r="M370" s="1097">
        <v>7971765</v>
      </c>
      <c r="N370" s="1097">
        <v>0</v>
      </c>
      <c r="O370" s="1097">
        <v>0</v>
      </c>
      <c r="P370" s="1097">
        <v>0</v>
      </c>
      <c r="Q370" s="1097">
        <v>0</v>
      </c>
      <c r="R370" s="1097">
        <v>0</v>
      </c>
      <c r="S370" s="1097">
        <v>0</v>
      </c>
      <c r="T370" s="1097">
        <v>0</v>
      </c>
      <c r="U370" s="1097">
        <v>0</v>
      </c>
      <c r="V370" s="1097">
        <v>0</v>
      </c>
      <c r="W370" s="1097">
        <v>0</v>
      </c>
      <c r="X370" s="1097">
        <v>0</v>
      </c>
      <c r="Y370" s="1097">
        <v>1253366</v>
      </c>
      <c r="Z370" s="1097">
        <v>0</v>
      </c>
      <c r="AA370" s="1096">
        <v>0</v>
      </c>
      <c r="AB370" s="1096">
        <v>0</v>
      </c>
      <c r="AC370" s="1096">
        <v>0</v>
      </c>
      <c r="AD370" s="1096">
        <v>0</v>
      </c>
      <c r="AE370" s="1096">
        <v>0</v>
      </c>
      <c r="AF370" s="1096">
        <v>1762145</v>
      </c>
      <c r="AG370" s="1096">
        <v>0</v>
      </c>
      <c r="AH370" s="1096">
        <v>0</v>
      </c>
      <c r="AI370" s="1096">
        <v>0</v>
      </c>
      <c r="AJ370" s="1096">
        <v>5688583</v>
      </c>
      <c r="AK370" s="1096">
        <v>0</v>
      </c>
      <c r="AL370" s="1096">
        <v>72136</v>
      </c>
      <c r="AM370" s="1096">
        <v>0</v>
      </c>
      <c r="AN370" s="1096">
        <v>0</v>
      </c>
      <c r="AO370" s="1096">
        <v>0</v>
      </c>
      <c r="AP370" s="1096">
        <v>0</v>
      </c>
      <c r="AQ370" s="1096">
        <v>0</v>
      </c>
      <c r="AR370" s="1096">
        <v>0</v>
      </c>
      <c r="AS370" s="1096">
        <v>2804913</v>
      </c>
      <c r="AT370" s="1096">
        <v>0</v>
      </c>
      <c r="AU370" s="1096">
        <v>0</v>
      </c>
    </row>
    <row r="371" spans="1:47" x14ac:dyDescent="0.25">
      <c r="A371" s="99">
        <v>555</v>
      </c>
      <c r="B371" s="1088">
        <v>555</v>
      </c>
      <c r="C371" s="1098">
        <v>555</v>
      </c>
      <c r="D371" s="1098" t="s">
        <v>366</v>
      </c>
      <c r="E371" s="1091">
        <v>350142</v>
      </c>
      <c r="F371" s="1071">
        <v>0</v>
      </c>
      <c r="G371" s="1071">
        <v>0</v>
      </c>
      <c r="H371" s="1071">
        <v>1615443</v>
      </c>
      <c r="I371" s="1071">
        <v>0</v>
      </c>
      <c r="J371" s="1072">
        <v>0</v>
      </c>
      <c r="K371" s="1096">
        <v>0</v>
      </c>
      <c r="L371" s="1097">
        <v>0</v>
      </c>
      <c r="M371" s="1097">
        <v>7718158</v>
      </c>
      <c r="N371" s="1097">
        <v>0</v>
      </c>
      <c r="O371" s="1097">
        <v>0</v>
      </c>
      <c r="P371" s="1097">
        <v>0</v>
      </c>
      <c r="Q371" s="1097">
        <v>0</v>
      </c>
      <c r="R371" s="1097">
        <v>0</v>
      </c>
      <c r="S371" s="1097">
        <v>0</v>
      </c>
      <c r="T371" s="1097">
        <v>0</v>
      </c>
      <c r="U371" s="1097">
        <v>0</v>
      </c>
      <c r="V371" s="1097">
        <v>0</v>
      </c>
      <c r="W371" s="1097">
        <v>0</v>
      </c>
      <c r="X371" s="1097">
        <v>0</v>
      </c>
      <c r="Y371" s="1097">
        <v>762658</v>
      </c>
      <c r="Z371" s="1097">
        <v>0</v>
      </c>
      <c r="AA371" s="1096">
        <v>0</v>
      </c>
      <c r="AB371" s="1096">
        <v>0</v>
      </c>
      <c r="AC371" s="1096">
        <v>0</v>
      </c>
      <c r="AD371" s="1096">
        <v>0</v>
      </c>
      <c r="AE371" s="1096">
        <v>0</v>
      </c>
      <c r="AF371" s="1096">
        <v>1762145</v>
      </c>
      <c r="AG371" s="1096">
        <v>0</v>
      </c>
      <c r="AH371" s="1096">
        <v>0</v>
      </c>
      <c r="AI371" s="1096">
        <v>0</v>
      </c>
      <c r="AJ371" s="1096">
        <v>4708999</v>
      </c>
      <c r="AK371" s="1096">
        <v>0</v>
      </c>
      <c r="AL371" s="1096">
        <v>0</v>
      </c>
      <c r="AM371" s="1096">
        <v>0</v>
      </c>
      <c r="AN371" s="1096">
        <v>0</v>
      </c>
      <c r="AO371" s="1096">
        <v>0</v>
      </c>
      <c r="AP371" s="1096">
        <v>0</v>
      </c>
      <c r="AQ371" s="1096">
        <v>0</v>
      </c>
      <c r="AR371" s="1096">
        <v>0</v>
      </c>
      <c r="AS371" s="1096">
        <v>593787</v>
      </c>
      <c r="AT371" s="1096">
        <v>0</v>
      </c>
      <c r="AU371" s="1096">
        <v>0</v>
      </c>
    </row>
    <row r="372" spans="1:47" x14ac:dyDescent="0.25">
      <c r="A372" s="99">
        <v>556</v>
      </c>
      <c r="B372" s="1088">
        <v>556</v>
      </c>
      <c r="C372" s="1098">
        <v>556</v>
      </c>
      <c r="D372" s="1098" t="s">
        <v>367</v>
      </c>
      <c r="E372" s="1091">
        <v>529703</v>
      </c>
      <c r="F372" s="1071">
        <v>0</v>
      </c>
      <c r="G372" s="1071">
        <v>0</v>
      </c>
      <c r="H372" s="1071">
        <v>1403385</v>
      </c>
      <c r="I372" s="1071">
        <v>0</v>
      </c>
      <c r="J372" s="1072">
        <v>0</v>
      </c>
      <c r="K372" s="1096">
        <v>0</v>
      </c>
      <c r="L372" s="1097">
        <v>0</v>
      </c>
      <c r="M372" s="1097">
        <v>1304534</v>
      </c>
      <c r="N372" s="1097">
        <v>0</v>
      </c>
      <c r="O372" s="1097">
        <v>0</v>
      </c>
      <c r="P372" s="1097">
        <v>0</v>
      </c>
      <c r="Q372" s="1097">
        <v>0</v>
      </c>
      <c r="R372" s="1097">
        <v>0</v>
      </c>
      <c r="S372" s="1097">
        <v>0</v>
      </c>
      <c r="T372" s="1097">
        <v>0</v>
      </c>
      <c r="U372" s="1097">
        <v>0</v>
      </c>
      <c r="V372" s="1097">
        <v>0</v>
      </c>
      <c r="W372" s="1097">
        <v>0</v>
      </c>
      <c r="X372" s="1097">
        <v>0</v>
      </c>
      <c r="Y372" s="1097">
        <v>368327</v>
      </c>
      <c r="Z372" s="1097">
        <v>0</v>
      </c>
      <c r="AA372" s="1096">
        <v>0</v>
      </c>
      <c r="AB372" s="1096">
        <v>0</v>
      </c>
      <c r="AC372" s="1096">
        <v>0</v>
      </c>
      <c r="AD372" s="1096">
        <v>0</v>
      </c>
      <c r="AE372" s="1096">
        <v>0</v>
      </c>
      <c r="AF372" s="1096">
        <v>0</v>
      </c>
      <c r="AG372" s="1096">
        <v>0</v>
      </c>
      <c r="AH372" s="1096">
        <v>0</v>
      </c>
      <c r="AI372" s="1096">
        <v>0</v>
      </c>
      <c r="AJ372" s="1096">
        <v>1310573</v>
      </c>
      <c r="AK372" s="1096">
        <v>0</v>
      </c>
      <c r="AL372" s="1096">
        <v>3261684</v>
      </c>
      <c r="AM372" s="1096">
        <v>0</v>
      </c>
      <c r="AN372" s="1096">
        <v>0</v>
      </c>
      <c r="AO372" s="1096">
        <v>0</v>
      </c>
      <c r="AP372" s="1096">
        <v>0</v>
      </c>
      <c r="AQ372" s="1096">
        <v>0</v>
      </c>
      <c r="AR372" s="1096">
        <v>0</v>
      </c>
      <c r="AS372" s="1096">
        <v>1215091</v>
      </c>
      <c r="AT372" s="1096">
        <v>0</v>
      </c>
      <c r="AU372" s="1096">
        <v>0</v>
      </c>
    </row>
    <row r="373" spans="1:47" x14ac:dyDescent="0.25">
      <c r="A373" s="99">
        <v>557</v>
      </c>
      <c r="B373" s="1088">
        <v>557</v>
      </c>
      <c r="C373" s="1098">
        <v>557</v>
      </c>
      <c r="D373" s="1098" t="s">
        <v>368</v>
      </c>
      <c r="E373" s="1091">
        <v>244408</v>
      </c>
      <c r="F373" s="1071">
        <v>0</v>
      </c>
      <c r="G373" s="1071">
        <v>0</v>
      </c>
      <c r="H373" s="1071">
        <v>1098146</v>
      </c>
      <c r="I373" s="1071">
        <v>0</v>
      </c>
      <c r="J373" s="1072">
        <v>0</v>
      </c>
      <c r="K373" s="1096">
        <v>0</v>
      </c>
      <c r="L373" s="1097">
        <v>0</v>
      </c>
      <c r="M373" s="1097">
        <v>952920</v>
      </c>
      <c r="N373" s="1097">
        <v>0</v>
      </c>
      <c r="O373" s="1097">
        <v>0</v>
      </c>
      <c r="P373" s="1097">
        <v>0</v>
      </c>
      <c r="Q373" s="1097">
        <v>0</v>
      </c>
      <c r="R373" s="1097">
        <v>0</v>
      </c>
      <c r="S373" s="1097">
        <v>0</v>
      </c>
      <c r="T373" s="1097">
        <v>0</v>
      </c>
      <c r="U373" s="1097">
        <v>0</v>
      </c>
      <c r="V373" s="1097">
        <v>0</v>
      </c>
      <c r="W373" s="1097">
        <v>0</v>
      </c>
      <c r="X373" s="1097">
        <v>0</v>
      </c>
      <c r="Y373" s="1097">
        <v>0</v>
      </c>
      <c r="Z373" s="1097">
        <v>0</v>
      </c>
      <c r="AA373" s="1096">
        <v>0</v>
      </c>
      <c r="AB373" s="1096">
        <v>0</v>
      </c>
      <c r="AC373" s="1096">
        <v>0</v>
      </c>
      <c r="AD373" s="1096">
        <v>0</v>
      </c>
      <c r="AE373" s="1096">
        <v>0</v>
      </c>
      <c r="AF373" s="1096">
        <v>0</v>
      </c>
      <c r="AG373" s="1096">
        <v>0</v>
      </c>
      <c r="AH373" s="1096">
        <v>0</v>
      </c>
      <c r="AI373" s="1096">
        <v>0</v>
      </c>
      <c r="AJ373" s="1096">
        <v>742303</v>
      </c>
      <c r="AK373" s="1096">
        <v>0</v>
      </c>
      <c r="AL373" s="1096">
        <v>3250571</v>
      </c>
      <c r="AM373" s="1096">
        <v>0</v>
      </c>
      <c r="AN373" s="1096">
        <v>0</v>
      </c>
      <c r="AO373" s="1096">
        <v>0</v>
      </c>
      <c r="AP373" s="1096">
        <v>0</v>
      </c>
      <c r="AQ373" s="1096">
        <v>0</v>
      </c>
      <c r="AR373" s="1096">
        <v>0</v>
      </c>
      <c r="AS373" s="1096">
        <v>833712</v>
      </c>
      <c r="AT373" s="1096">
        <v>0</v>
      </c>
      <c r="AU373" s="1096">
        <v>0</v>
      </c>
    </row>
    <row r="374" spans="1:47" x14ac:dyDescent="0.25">
      <c r="A374" s="99">
        <v>577</v>
      </c>
      <c r="B374" s="1088">
        <v>577</v>
      </c>
      <c r="C374" s="1098">
        <v>577</v>
      </c>
      <c r="D374" s="1098" t="s">
        <v>397</v>
      </c>
      <c r="E374" s="1091">
        <v>0</v>
      </c>
      <c r="F374" s="1071">
        <v>2</v>
      </c>
      <c r="G374" s="1071">
        <v>2</v>
      </c>
      <c r="H374" s="1071">
        <v>2</v>
      </c>
      <c r="I374" s="1071">
        <v>2</v>
      </c>
      <c r="J374" s="1072">
        <v>2</v>
      </c>
      <c r="K374" s="1096">
        <v>2</v>
      </c>
      <c r="L374" s="1097">
        <v>0</v>
      </c>
      <c r="M374" s="1097">
        <v>2</v>
      </c>
      <c r="N374" s="1097">
        <v>2</v>
      </c>
      <c r="O374" s="1097">
        <v>2</v>
      </c>
      <c r="P374" s="1097">
        <v>0</v>
      </c>
      <c r="Q374" s="1097">
        <v>2</v>
      </c>
      <c r="R374" s="1097">
        <v>0</v>
      </c>
      <c r="S374" s="1097">
        <v>2</v>
      </c>
      <c r="T374" s="1097">
        <v>0</v>
      </c>
      <c r="U374" s="1097">
        <v>2</v>
      </c>
      <c r="V374" s="1097">
        <v>2</v>
      </c>
      <c r="W374" s="1097">
        <v>2</v>
      </c>
      <c r="X374" s="1097">
        <v>2</v>
      </c>
      <c r="Y374" s="1097">
        <v>2</v>
      </c>
      <c r="Z374" s="1097">
        <v>2</v>
      </c>
      <c r="AA374" s="1096">
        <v>2</v>
      </c>
      <c r="AB374" s="1096">
        <v>0</v>
      </c>
      <c r="AC374" s="1096">
        <v>2</v>
      </c>
      <c r="AD374" s="1096">
        <v>0</v>
      </c>
      <c r="AE374" s="1096">
        <v>2</v>
      </c>
      <c r="AF374" s="1096">
        <v>2</v>
      </c>
      <c r="AG374" s="1096">
        <v>2</v>
      </c>
      <c r="AH374" s="1096">
        <v>2</v>
      </c>
      <c r="AI374" s="1096">
        <v>0</v>
      </c>
      <c r="AJ374" s="1096">
        <v>2</v>
      </c>
      <c r="AK374" s="1096">
        <v>2</v>
      </c>
      <c r="AL374" s="1096">
        <v>2</v>
      </c>
      <c r="AM374" s="1096">
        <v>0</v>
      </c>
      <c r="AN374" s="1096">
        <v>0</v>
      </c>
      <c r="AO374" s="1096">
        <v>2</v>
      </c>
      <c r="AP374" s="1096">
        <v>2</v>
      </c>
      <c r="AQ374" s="1096">
        <v>2</v>
      </c>
      <c r="AR374" s="1096">
        <v>2</v>
      </c>
      <c r="AS374" s="1096">
        <v>2</v>
      </c>
      <c r="AT374" s="1096">
        <v>2</v>
      </c>
      <c r="AU374" s="1096">
        <v>2</v>
      </c>
    </row>
    <row r="375" spans="1:47" ht="45" x14ac:dyDescent="0.25">
      <c r="A375" s="99">
        <v>606</v>
      </c>
      <c r="B375" s="1088">
        <v>606</v>
      </c>
      <c r="C375" s="99">
        <v>606</v>
      </c>
      <c r="D375" s="1112" t="s">
        <v>445</v>
      </c>
      <c r="E375" s="1091">
        <v>1</v>
      </c>
      <c r="F375" s="1071">
        <v>0</v>
      </c>
      <c r="G375" s="1071">
        <v>0</v>
      </c>
      <c r="H375" s="1071">
        <v>1</v>
      </c>
      <c r="I375" s="1071">
        <v>0</v>
      </c>
      <c r="J375" s="1072">
        <v>0</v>
      </c>
      <c r="K375" s="1096">
        <v>0</v>
      </c>
      <c r="L375" s="1097">
        <v>0</v>
      </c>
      <c r="M375" s="1097">
        <v>1</v>
      </c>
      <c r="N375" s="1097">
        <v>0</v>
      </c>
      <c r="O375" s="1097">
        <v>0</v>
      </c>
      <c r="P375" s="1097">
        <v>0</v>
      </c>
      <c r="Q375" s="1097">
        <v>0</v>
      </c>
      <c r="R375" s="1097">
        <v>0</v>
      </c>
      <c r="S375" s="1097">
        <v>0</v>
      </c>
      <c r="T375" s="1097">
        <v>0</v>
      </c>
      <c r="U375" s="1097">
        <v>0</v>
      </c>
      <c r="V375" s="1097">
        <v>0</v>
      </c>
      <c r="W375" s="1097">
        <v>0</v>
      </c>
      <c r="X375" s="1097">
        <v>0</v>
      </c>
      <c r="Y375" s="1097">
        <v>1</v>
      </c>
      <c r="Z375" s="1097">
        <v>0</v>
      </c>
      <c r="AA375" s="1096">
        <v>0</v>
      </c>
      <c r="AB375" s="1096">
        <v>0</v>
      </c>
      <c r="AC375" s="1096">
        <v>0</v>
      </c>
      <c r="AD375" s="1096">
        <v>0</v>
      </c>
      <c r="AE375" s="1096">
        <v>0</v>
      </c>
      <c r="AF375" s="1096">
        <v>1</v>
      </c>
      <c r="AG375" s="1096">
        <v>0</v>
      </c>
      <c r="AH375" s="1096">
        <v>0</v>
      </c>
      <c r="AI375" s="1096">
        <v>0</v>
      </c>
      <c r="AJ375" s="1096">
        <v>1</v>
      </c>
      <c r="AK375" s="1096">
        <v>0</v>
      </c>
      <c r="AL375" s="1096">
        <v>1</v>
      </c>
      <c r="AM375" s="1096">
        <v>0</v>
      </c>
      <c r="AN375" s="1096">
        <v>0</v>
      </c>
      <c r="AO375" s="1096">
        <v>0</v>
      </c>
      <c r="AP375" s="1096">
        <v>0</v>
      </c>
      <c r="AQ375" s="1096">
        <v>0</v>
      </c>
      <c r="AR375" s="1096">
        <v>0</v>
      </c>
      <c r="AS375" s="1096">
        <v>1</v>
      </c>
      <c r="AT375" s="1096">
        <v>0</v>
      </c>
      <c r="AU375" s="1096">
        <v>0</v>
      </c>
    </row>
    <row r="376" spans="1:47" ht="30" x14ac:dyDescent="0.25">
      <c r="A376" s="99">
        <v>662</v>
      </c>
      <c r="B376" s="1116">
        <v>662</v>
      </c>
      <c r="C376" s="1116">
        <v>662</v>
      </c>
      <c r="D376" s="1117" t="s">
        <v>588</v>
      </c>
      <c r="E376" s="1091">
        <v>0</v>
      </c>
      <c r="F376" s="1071">
        <v>0</v>
      </c>
      <c r="G376" s="1071">
        <v>0</v>
      </c>
      <c r="H376" s="1071">
        <v>0</v>
      </c>
      <c r="I376" s="1071">
        <v>0</v>
      </c>
      <c r="J376" s="1072">
        <v>0</v>
      </c>
      <c r="K376" s="1096">
        <v>0</v>
      </c>
      <c r="L376" s="1097">
        <v>0</v>
      </c>
      <c r="M376" s="1097">
        <v>0</v>
      </c>
      <c r="N376" s="1097">
        <v>0</v>
      </c>
      <c r="O376" s="1097">
        <v>0</v>
      </c>
      <c r="P376" s="1097">
        <v>0</v>
      </c>
      <c r="Q376" s="1097">
        <v>0</v>
      </c>
      <c r="R376" s="1097">
        <v>0</v>
      </c>
      <c r="S376" s="1097">
        <v>0</v>
      </c>
      <c r="T376" s="1097">
        <v>0</v>
      </c>
      <c r="U376" s="1097">
        <v>0</v>
      </c>
      <c r="V376" s="1097">
        <v>0</v>
      </c>
      <c r="W376" s="1097">
        <v>0</v>
      </c>
      <c r="X376" s="1097">
        <v>0</v>
      </c>
      <c r="Y376" s="1097">
        <v>97553</v>
      </c>
      <c r="Z376" s="1097">
        <v>0</v>
      </c>
      <c r="AA376" s="1096">
        <v>0</v>
      </c>
      <c r="AB376" s="1096">
        <v>0</v>
      </c>
      <c r="AC376" s="1096">
        <v>0</v>
      </c>
      <c r="AD376" s="1096">
        <v>0</v>
      </c>
      <c r="AE376" s="1096">
        <v>0</v>
      </c>
      <c r="AF376" s="1096">
        <v>800000</v>
      </c>
      <c r="AG376" s="1096">
        <v>0</v>
      </c>
      <c r="AH376" s="1096">
        <v>0</v>
      </c>
      <c r="AI376" s="1096">
        <v>0</v>
      </c>
      <c r="AJ376" s="1096">
        <v>0</v>
      </c>
      <c r="AK376" s="1096">
        <v>0</v>
      </c>
      <c r="AL376" s="1096">
        <v>0</v>
      </c>
      <c r="AM376" s="1096">
        <v>0</v>
      </c>
      <c r="AN376" s="1096">
        <v>0</v>
      </c>
      <c r="AO376" s="1096">
        <v>0</v>
      </c>
      <c r="AP376" s="1096">
        <v>0</v>
      </c>
      <c r="AQ376" s="1096">
        <v>0</v>
      </c>
      <c r="AR376" s="1096">
        <v>0</v>
      </c>
      <c r="AS376" s="1096">
        <v>0</v>
      </c>
      <c r="AT376" s="1096">
        <v>0</v>
      </c>
      <c r="AU376" s="1096">
        <v>0</v>
      </c>
    </row>
    <row r="377" spans="1:47" ht="30" x14ac:dyDescent="0.25">
      <c r="A377" s="99">
        <v>663</v>
      </c>
      <c r="B377" s="1116">
        <v>663</v>
      </c>
      <c r="C377" s="1116">
        <v>663</v>
      </c>
      <c r="D377" s="1117" t="s">
        <v>589</v>
      </c>
      <c r="E377" s="1091">
        <v>146795</v>
      </c>
      <c r="F377" s="1071">
        <v>0</v>
      </c>
      <c r="G377" s="1071">
        <v>0</v>
      </c>
      <c r="H377" s="1071">
        <v>713351</v>
      </c>
      <c r="I377" s="1071">
        <v>0</v>
      </c>
      <c r="J377" s="1072">
        <v>0</v>
      </c>
      <c r="K377" s="1096">
        <v>0</v>
      </c>
      <c r="L377" s="1097">
        <v>0</v>
      </c>
      <c r="M377" s="1097">
        <v>0</v>
      </c>
      <c r="N377" s="1097">
        <v>0</v>
      </c>
      <c r="O377" s="1097">
        <v>0</v>
      </c>
      <c r="P377" s="1097">
        <v>0</v>
      </c>
      <c r="Q377" s="1097">
        <v>0</v>
      </c>
      <c r="R377" s="1097">
        <v>0</v>
      </c>
      <c r="S377" s="1097">
        <v>0</v>
      </c>
      <c r="T377" s="1097">
        <v>0</v>
      </c>
      <c r="U377" s="1097">
        <v>0</v>
      </c>
      <c r="V377" s="1097">
        <v>0</v>
      </c>
      <c r="W377" s="1097">
        <v>0</v>
      </c>
      <c r="X377" s="1097">
        <v>0</v>
      </c>
      <c r="Y377" s="1097">
        <v>280549</v>
      </c>
      <c r="Z377" s="1097">
        <v>0</v>
      </c>
      <c r="AA377" s="1096">
        <v>0</v>
      </c>
      <c r="AB377" s="1096">
        <v>0</v>
      </c>
      <c r="AC377" s="1096">
        <v>0</v>
      </c>
      <c r="AD377" s="1096">
        <v>0</v>
      </c>
      <c r="AE377" s="1096">
        <v>0</v>
      </c>
      <c r="AF377" s="1096">
        <v>0</v>
      </c>
      <c r="AG377" s="1096">
        <v>0</v>
      </c>
      <c r="AH377" s="1096">
        <v>0</v>
      </c>
      <c r="AI377" s="1096">
        <v>0</v>
      </c>
      <c r="AJ377" s="1096">
        <v>0</v>
      </c>
      <c r="AK377" s="1096">
        <v>0</v>
      </c>
      <c r="AL377" s="1096">
        <v>0</v>
      </c>
      <c r="AM377" s="1096">
        <v>0</v>
      </c>
      <c r="AN377" s="1096">
        <v>0</v>
      </c>
      <c r="AO377" s="1096">
        <v>0</v>
      </c>
      <c r="AP377" s="1096">
        <v>0</v>
      </c>
      <c r="AQ377" s="1096">
        <v>0</v>
      </c>
      <c r="AR377" s="1096">
        <v>0</v>
      </c>
      <c r="AS377" s="1096">
        <v>0</v>
      </c>
      <c r="AT377" s="1096">
        <v>0</v>
      </c>
      <c r="AU377" s="1096">
        <v>0</v>
      </c>
    </row>
    <row r="378" spans="1:47" ht="75" x14ac:dyDescent="0.25">
      <c r="A378" s="99">
        <v>620</v>
      </c>
      <c r="B378" s="1088">
        <v>620</v>
      </c>
      <c r="C378" s="99">
        <v>620</v>
      </c>
      <c r="D378" s="1112" t="s">
        <v>438</v>
      </c>
      <c r="E378" s="1091">
        <v>2</v>
      </c>
      <c r="F378" s="1071">
        <v>2</v>
      </c>
      <c r="G378" s="1071">
        <v>2</v>
      </c>
      <c r="H378" s="1071">
        <v>2</v>
      </c>
      <c r="I378" s="1071">
        <v>1</v>
      </c>
      <c r="J378" s="1072">
        <v>2</v>
      </c>
      <c r="K378" s="1096">
        <v>2</v>
      </c>
      <c r="L378" s="1097">
        <v>0</v>
      </c>
      <c r="M378" s="1097">
        <v>2</v>
      </c>
      <c r="N378" s="1097">
        <v>2</v>
      </c>
      <c r="O378" s="1097">
        <v>2</v>
      </c>
      <c r="P378" s="1097">
        <v>2</v>
      </c>
      <c r="Q378" s="1097">
        <v>2</v>
      </c>
      <c r="R378" s="1097">
        <v>0</v>
      </c>
      <c r="S378" s="1097">
        <v>2</v>
      </c>
      <c r="T378" s="1097">
        <v>0</v>
      </c>
      <c r="U378" s="1097">
        <v>2</v>
      </c>
      <c r="V378" s="1097">
        <v>2</v>
      </c>
      <c r="W378" s="1097">
        <v>2</v>
      </c>
      <c r="X378" s="1097">
        <v>2</v>
      </c>
      <c r="Y378" s="1097">
        <v>2</v>
      </c>
      <c r="Z378" s="1097">
        <v>2</v>
      </c>
      <c r="AA378" s="1096">
        <v>2</v>
      </c>
      <c r="AB378" s="1096">
        <v>0</v>
      </c>
      <c r="AC378" s="1096">
        <v>2</v>
      </c>
      <c r="AD378" s="1096">
        <v>2</v>
      </c>
      <c r="AE378" s="1096">
        <v>2</v>
      </c>
      <c r="AF378" s="1096">
        <v>2</v>
      </c>
      <c r="AG378" s="1096">
        <v>2</v>
      </c>
      <c r="AH378" s="1096">
        <v>2</v>
      </c>
      <c r="AI378" s="1096">
        <v>0</v>
      </c>
      <c r="AJ378" s="1096">
        <v>2</v>
      </c>
      <c r="AK378" s="1096">
        <v>2</v>
      </c>
      <c r="AL378" s="1096">
        <v>2</v>
      </c>
      <c r="AM378" s="1096">
        <v>2</v>
      </c>
      <c r="AN378" s="1096">
        <v>2</v>
      </c>
      <c r="AO378" s="1096">
        <v>2</v>
      </c>
      <c r="AP378" s="1096">
        <v>2</v>
      </c>
      <c r="AQ378" s="1096">
        <v>2</v>
      </c>
      <c r="AR378" s="1096">
        <v>2</v>
      </c>
      <c r="AS378" s="1096">
        <v>2</v>
      </c>
      <c r="AT378" s="1096">
        <v>2</v>
      </c>
      <c r="AU378" s="1096">
        <v>2</v>
      </c>
    </row>
    <row r="379" spans="1:47" ht="30" x14ac:dyDescent="0.25">
      <c r="A379" s="99">
        <v>995</v>
      </c>
      <c r="B379" s="1099"/>
      <c r="C379" s="1084">
        <v>995</v>
      </c>
      <c r="D379" s="1085" t="s">
        <v>290</v>
      </c>
      <c r="E379" s="1091">
        <v>0</v>
      </c>
      <c r="F379" s="1069" t="s">
        <v>1560</v>
      </c>
      <c r="G379" s="1069" t="s">
        <v>1560</v>
      </c>
      <c r="H379" s="1069" t="s">
        <v>1560</v>
      </c>
      <c r="I379" s="1069" t="s">
        <v>1560</v>
      </c>
      <c r="J379" s="1070" t="s">
        <v>1560</v>
      </c>
      <c r="K379" s="1092">
        <v>0</v>
      </c>
      <c r="L379" s="1093">
        <v>0</v>
      </c>
      <c r="M379" s="1093">
        <v>0</v>
      </c>
      <c r="N379" s="1093">
        <v>0</v>
      </c>
      <c r="O379" s="1093">
        <v>0</v>
      </c>
      <c r="P379" s="1093">
        <v>0</v>
      </c>
      <c r="Q379" s="1093">
        <v>0</v>
      </c>
      <c r="R379" s="1093">
        <v>0</v>
      </c>
      <c r="S379" s="1093">
        <v>0</v>
      </c>
      <c r="T379" s="1093">
        <v>0</v>
      </c>
      <c r="U379" s="1093">
        <v>0</v>
      </c>
      <c r="V379" s="1093">
        <v>0</v>
      </c>
      <c r="W379" s="1093">
        <v>0</v>
      </c>
      <c r="X379" s="1093">
        <v>0</v>
      </c>
      <c r="Y379" s="1093">
        <v>0</v>
      </c>
      <c r="Z379" s="1093">
        <v>0</v>
      </c>
      <c r="AA379" s="1092">
        <v>0</v>
      </c>
      <c r="AB379" s="1092">
        <v>0</v>
      </c>
      <c r="AC379" s="1092">
        <v>0</v>
      </c>
      <c r="AD379" s="1092">
        <v>0</v>
      </c>
      <c r="AE379" s="1092">
        <v>0</v>
      </c>
      <c r="AF379" s="1092">
        <v>0</v>
      </c>
      <c r="AG379" s="1092">
        <v>0</v>
      </c>
      <c r="AH379" s="1092">
        <v>0</v>
      </c>
      <c r="AI379" s="1092">
        <v>0</v>
      </c>
      <c r="AJ379" s="1092">
        <v>0</v>
      </c>
      <c r="AK379" s="1092">
        <v>0</v>
      </c>
      <c r="AL379" s="1092">
        <v>0</v>
      </c>
      <c r="AM379" s="1092">
        <v>0</v>
      </c>
      <c r="AN379" s="1092">
        <v>0</v>
      </c>
      <c r="AO379" s="1092">
        <v>0</v>
      </c>
      <c r="AP379" s="1092">
        <v>0</v>
      </c>
      <c r="AQ379" s="1092">
        <v>0</v>
      </c>
      <c r="AR379" s="1092">
        <v>0</v>
      </c>
      <c r="AS379" s="1092">
        <v>0</v>
      </c>
      <c r="AT379" s="1092">
        <v>0</v>
      </c>
      <c r="AU379" s="1092">
        <v>0</v>
      </c>
    </row>
    <row r="380" spans="1:47" ht="30" x14ac:dyDescent="0.25">
      <c r="A380" s="99">
        <v>996</v>
      </c>
      <c r="B380" s="1099"/>
      <c r="C380" s="1084">
        <v>996</v>
      </c>
      <c r="D380" s="1100" t="s">
        <v>291</v>
      </c>
      <c r="E380" s="1101">
        <v>0</v>
      </c>
      <c r="F380" s="1102">
        <v>0</v>
      </c>
      <c r="G380" s="1102">
        <v>0</v>
      </c>
      <c r="H380" s="1102">
        <v>0</v>
      </c>
      <c r="I380" s="1102">
        <v>0</v>
      </c>
      <c r="J380" s="1103">
        <v>0</v>
      </c>
      <c r="K380" s="1092">
        <v>0</v>
      </c>
      <c r="L380" s="1093">
        <v>0</v>
      </c>
      <c r="M380" s="1093">
        <v>0</v>
      </c>
      <c r="N380" s="1093">
        <v>0</v>
      </c>
      <c r="O380" s="1093">
        <v>0</v>
      </c>
      <c r="P380" s="1093">
        <v>0</v>
      </c>
      <c r="Q380" s="1093">
        <v>0</v>
      </c>
      <c r="R380" s="1093">
        <v>0</v>
      </c>
      <c r="S380" s="1093">
        <v>0</v>
      </c>
      <c r="T380" s="1093">
        <v>0</v>
      </c>
      <c r="U380" s="1093">
        <v>0</v>
      </c>
      <c r="V380" s="1093">
        <v>0</v>
      </c>
      <c r="W380" s="1093">
        <v>0</v>
      </c>
      <c r="X380" s="1093">
        <v>0</v>
      </c>
      <c r="Y380" s="1093">
        <v>0</v>
      </c>
      <c r="Z380" s="1093">
        <v>0</v>
      </c>
      <c r="AA380" s="1092">
        <v>0</v>
      </c>
      <c r="AB380" s="1092">
        <v>0</v>
      </c>
      <c r="AC380" s="1092">
        <v>0</v>
      </c>
      <c r="AD380" s="1092">
        <v>0</v>
      </c>
      <c r="AE380" s="1092">
        <v>0</v>
      </c>
      <c r="AF380" s="1092">
        <v>0</v>
      </c>
      <c r="AG380" s="1092">
        <v>0</v>
      </c>
      <c r="AH380" s="1092">
        <v>0</v>
      </c>
      <c r="AI380" s="1092">
        <v>0</v>
      </c>
      <c r="AJ380" s="1092">
        <v>0</v>
      </c>
      <c r="AK380" s="1092">
        <v>0</v>
      </c>
      <c r="AL380" s="1092">
        <v>0</v>
      </c>
      <c r="AM380" s="1092">
        <v>0</v>
      </c>
      <c r="AN380" s="1092">
        <v>0</v>
      </c>
      <c r="AO380" s="1092">
        <v>0</v>
      </c>
      <c r="AP380" s="1092">
        <v>0</v>
      </c>
      <c r="AQ380" s="1092">
        <v>0</v>
      </c>
      <c r="AR380" s="1092">
        <v>0</v>
      </c>
      <c r="AS380" s="1092">
        <v>0</v>
      </c>
      <c r="AT380" s="1092">
        <v>0</v>
      </c>
      <c r="AU380" s="1092">
        <v>0</v>
      </c>
    </row>
    <row r="381" spans="1:47" x14ac:dyDescent="0.25">
      <c r="A381" s="99">
        <v>997</v>
      </c>
      <c r="B381" s="1099"/>
      <c r="C381" s="99">
        <v>997</v>
      </c>
      <c r="E381" s="1101"/>
      <c r="F381" s="1102"/>
      <c r="G381" s="1102"/>
      <c r="H381" s="1102"/>
      <c r="I381" s="1102"/>
      <c r="J381" s="1103"/>
      <c r="K381" s="1092"/>
      <c r="L381" s="1093"/>
      <c r="M381" s="1093"/>
      <c r="N381" s="1093"/>
      <c r="O381" s="1093"/>
      <c r="P381" s="1093"/>
      <c r="Q381" s="1093"/>
      <c r="R381" s="1093"/>
      <c r="S381" s="1093"/>
      <c r="T381" s="1093"/>
      <c r="U381" s="1093"/>
      <c r="V381" s="1093"/>
      <c r="W381" s="1093"/>
      <c r="X381" s="1093"/>
      <c r="Y381" s="1093"/>
      <c r="Z381" s="1093"/>
      <c r="AA381" s="1092"/>
      <c r="AB381" s="1092"/>
      <c r="AC381" s="1092"/>
      <c r="AD381" s="1092"/>
      <c r="AE381" s="1092"/>
      <c r="AF381" s="1092"/>
      <c r="AG381" s="1092"/>
      <c r="AH381" s="1092"/>
      <c r="AI381" s="1092"/>
      <c r="AJ381" s="1092"/>
      <c r="AK381" s="1092"/>
      <c r="AL381" s="1092"/>
      <c r="AM381" s="1092"/>
      <c r="AN381" s="1092"/>
      <c r="AO381" s="1092"/>
      <c r="AP381" s="1092"/>
      <c r="AQ381" s="1092"/>
      <c r="AR381" s="1092"/>
      <c r="AS381" s="1092"/>
      <c r="AT381" s="1092"/>
      <c r="AU381" s="1092"/>
    </row>
    <row r="382" spans="1:47" x14ac:dyDescent="0.25">
      <c r="A382" s="99">
        <v>998</v>
      </c>
      <c r="B382" s="1088">
        <v>998</v>
      </c>
      <c r="C382" s="1084">
        <v>998</v>
      </c>
      <c r="D382" s="1085" t="s">
        <v>292</v>
      </c>
      <c r="E382" s="1091">
        <v>60</v>
      </c>
      <c r="F382" s="1069">
        <v>60</v>
      </c>
      <c r="G382" s="1069">
        <v>60</v>
      </c>
      <c r="H382" s="1069">
        <v>60</v>
      </c>
      <c r="I382" s="1069">
        <v>60</v>
      </c>
      <c r="J382" s="1070">
        <v>60</v>
      </c>
      <c r="K382" s="1082">
        <v>60</v>
      </c>
      <c r="L382" s="1079">
        <v>0</v>
      </c>
      <c r="M382" s="1094">
        <v>60</v>
      </c>
      <c r="N382" s="1094">
        <v>60</v>
      </c>
      <c r="O382" s="1094">
        <v>60</v>
      </c>
      <c r="P382" s="1094">
        <v>60</v>
      </c>
      <c r="Q382" s="1094">
        <v>60</v>
      </c>
      <c r="R382" s="1094">
        <v>0</v>
      </c>
      <c r="S382" s="1094">
        <v>60</v>
      </c>
      <c r="T382" s="1094">
        <v>0</v>
      </c>
      <c r="U382" s="1094">
        <v>60</v>
      </c>
      <c r="V382" s="1094">
        <v>60</v>
      </c>
      <c r="W382" s="1094">
        <v>60</v>
      </c>
      <c r="X382" s="1094">
        <v>0</v>
      </c>
      <c r="Y382" s="1094">
        <v>60</v>
      </c>
      <c r="Z382" s="1094">
        <v>60</v>
      </c>
      <c r="AA382" s="1095">
        <v>60</v>
      </c>
      <c r="AB382" s="1095">
        <v>0</v>
      </c>
      <c r="AC382" s="1095">
        <v>60</v>
      </c>
      <c r="AD382" s="1095">
        <v>60</v>
      </c>
      <c r="AE382" s="1095">
        <v>60</v>
      </c>
      <c r="AF382" s="1095">
        <v>60</v>
      </c>
      <c r="AG382" s="1095">
        <v>60</v>
      </c>
      <c r="AH382" s="1095">
        <v>60</v>
      </c>
      <c r="AI382" s="1095">
        <v>0</v>
      </c>
      <c r="AJ382" s="1095">
        <v>60</v>
      </c>
      <c r="AK382" s="1095">
        <v>60</v>
      </c>
      <c r="AL382" s="1095">
        <v>60</v>
      </c>
      <c r="AM382" s="1095">
        <v>60</v>
      </c>
      <c r="AN382" s="1095">
        <v>60</v>
      </c>
      <c r="AO382" s="1095">
        <v>60</v>
      </c>
      <c r="AP382" s="1095">
        <v>60</v>
      </c>
      <c r="AQ382" s="1095">
        <v>60</v>
      </c>
      <c r="AR382" s="1095">
        <v>60</v>
      </c>
      <c r="AS382" s="1095">
        <v>60</v>
      </c>
      <c r="AT382" s="1095">
        <v>60</v>
      </c>
      <c r="AU382" s="1095">
        <v>60</v>
      </c>
    </row>
    <row r="383" spans="1:47" x14ac:dyDescent="0.25">
      <c r="A383" s="99">
        <v>999</v>
      </c>
      <c r="B383" s="1088">
        <v>999</v>
      </c>
      <c r="C383" s="1084">
        <v>999</v>
      </c>
      <c r="D383" s="1085" t="s">
        <v>293</v>
      </c>
      <c r="E383" s="1086">
        <v>602182</v>
      </c>
      <c r="F383" s="1069">
        <v>601701</v>
      </c>
      <c r="G383" s="1069">
        <v>601702</v>
      </c>
      <c r="H383" s="1069">
        <v>601703</v>
      </c>
      <c r="I383" s="1069">
        <v>604187</v>
      </c>
      <c r="J383" s="1070">
        <v>601707</v>
      </c>
      <c r="K383" s="1082">
        <v>601708</v>
      </c>
      <c r="L383" s="1079">
        <v>0</v>
      </c>
      <c r="M383" s="1094">
        <v>602352</v>
      </c>
      <c r="N383" s="1094">
        <v>60952</v>
      </c>
      <c r="O383" s="1094">
        <v>601717</v>
      </c>
      <c r="P383" s="1094">
        <v>601719</v>
      </c>
      <c r="Q383" s="1094">
        <v>601720</v>
      </c>
      <c r="R383" s="1094">
        <v>0</v>
      </c>
      <c r="S383" s="1094">
        <v>601723</v>
      </c>
      <c r="T383" s="1094">
        <v>0</v>
      </c>
      <c r="U383" s="1094">
        <v>601782</v>
      </c>
      <c r="V383" s="1094">
        <v>601724</v>
      </c>
      <c r="W383" s="1094">
        <v>601725</v>
      </c>
      <c r="X383" s="1094">
        <v>0</v>
      </c>
      <c r="Y383" s="1094">
        <v>602154</v>
      </c>
      <c r="Z383" s="1094">
        <v>604030</v>
      </c>
      <c r="AA383" s="1095">
        <v>601738</v>
      </c>
      <c r="AB383" s="1095">
        <v>0</v>
      </c>
      <c r="AC383" s="1095">
        <v>601745</v>
      </c>
      <c r="AD383" s="1095">
        <v>601746</v>
      </c>
      <c r="AE383" s="1095">
        <v>601748</v>
      </c>
      <c r="AF383" s="1095">
        <v>601790</v>
      </c>
      <c r="AG383" s="1095">
        <v>602369</v>
      </c>
      <c r="AH383" s="1095">
        <v>601760</v>
      </c>
      <c r="AI383" s="1095">
        <v>0</v>
      </c>
      <c r="AJ383" s="1095">
        <v>601797</v>
      </c>
      <c r="AK383" s="1095">
        <v>602153</v>
      </c>
      <c r="AL383" s="1095">
        <v>601764</v>
      </c>
      <c r="AM383" s="1095">
        <v>602389</v>
      </c>
      <c r="AN383" s="1095">
        <v>601765</v>
      </c>
      <c r="AO383" s="1095">
        <v>602178</v>
      </c>
      <c r="AP383" s="1095">
        <v>602390</v>
      </c>
      <c r="AQ383" s="1095">
        <v>602391</v>
      </c>
      <c r="AR383" s="1095">
        <v>602414</v>
      </c>
      <c r="AS383" s="1095">
        <v>602395</v>
      </c>
      <c r="AT383" s="1095">
        <v>602333</v>
      </c>
      <c r="AU383" s="1095">
        <v>601774</v>
      </c>
    </row>
    <row r="384" spans="1:47" x14ac:dyDescent="0.25">
      <c r="A384" s="99">
        <v>1000</v>
      </c>
      <c r="B384" s="1088"/>
      <c r="C384" s="99">
        <v>1000</v>
      </c>
      <c r="E384" s="1086"/>
      <c r="F384" s="1069"/>
      <c r="G384" s="1069"/>
      <c r="H384" s="1069"/>
      <c r="I384" s="1069"/>
      <c r="J384" s="1070"/>
      <c r="K384" s="1082"/>
      <c r="L384" s="1079"/>
      <c r="M384" s="1094"/>
      <c r="N384" s="1094"/>
      <c r="O384" s="1094"/>
      <c r="P384" s="1094"/>
      <c r="Q384" s="1094"/>
      <c r="R384" s="1094"/>
      <c r="S384" s="1094"/>
      <c r="T384" s="1094"/>
      <c r="U384" s="1094"/>
      <c r="V384" s="1094"/>
      <c r="W384" s="1094"/>
      <c r="X384" s="1094"/>
      <c r="Y384" s="1094"/>
      <c r="Z384" s="1094"/>
      <c r="AA384" s="1095"/>
      <c r="AB384" s="1095"/>
      <c r="AC384" s="1095"/>
      <c r="AD384" s="1095"/>
      <c r="AE384" s="1095"/>
      <c r="AF384" s="1095"/>
      <c r="AG384" s="1095"/>
      <c r="AH384" s="1095"/>
      <c r="AI384" s="1095"/>
      <c r="AJ384" s="1095"/>
      <c r="AK384" s="1095"/>
      <c r="AL384" s="1095"/>
      <c r="AM384" s="1095"/>
      <c r="AN384" s="1095"/>
      <c r="AO384" s="1095"/>
      <c r="AP384" s="1095"/>
      <c r="AQ384" s="1095"/>
      <c r="AR384" s="1095"/>
      <c r="AS384" s="1095"/>
      <c r="AT384" s="1095"/>
      <c r="AU384" s="1095"/>
    </row>
    <row r="385" spans="1:80" x14ac:dyDescent="0.25">
      <c r="A385" s="99">
        <v>537</v>
      </c>
      <c r="B385" s="1088"/>
      <c r="C385" s="99">
        <v>537</v>
      </c>
      <c r="E385" s="1086"/>
      <c r="F385" s="1069"/>
      <c r="G385" s="1069"/>
      <c r="H385" s="1069"/>
      <c r="I385" s="1069"/>
      <c r="J385" s="1070"/>
      <c r="K385" s="1082"/>
      <c r="L385" s="1079"/>
      <c r="M385" s="1094"/>
      <c r="N385" s="1094"/>
      <c r="O385" s="1094"/>
      <c r="P385" s="1094"/>
      <c r="Q385" s="1094"/>
      <c r="R385" s="1094"/>
      <c r="S385" s="1094"/>
      <c r="T385" s="1094"/>
      <c r="U385" s="1094"/>
      <c r="V385" s="1094"/>
      <c r="W385" s="1094"/>
      <c r="X385" s="1094"/>
      <c r="Y385" s="1094"/>
      <c r="Z385" s="1094"/>
      <c r="AA385" s="1095"/>
      <c r="AB385" s="1095"/>
      <c r="AC385" s="1095"/>
      <c r="AD385" s="1095"/>
      <c r="AE385" s="1095"/>
      <c r="AF385" s="1095"/>
      <c r="AG385" s="1095"/>
      <c r="AH385" s="1095"/>
      <c r="AI385" s="1095"/>
      <c r="AJ385" s="1095"/>
      <c r="AK385" s="1095"/>
      <c r="AL385" s="1095"/>
      <c r="AM385" s="1095"/>
      <c r="AN385" s="1095"/>
      <c r="AO385" s="1095"/>
      <c r="AP385" s="1095"/>
      <c r="AQ385" s="1095"/>
      <c r="AR385" s="1095"/>
      <c r="AS385" s="1095"/>
      <c r="AT385" s="1095"/>
      <c r="AU385" s="1095"/>
    </row>
    <row r="386" spans="1:80" x14ac:dyDescent="0.25">
      <c r="A386" s="99">
        <v>538</v>
      </c>
      <c r="B386" s="1088"/>
      <c r="C386" s="99">
        <v>538</v>
      </c>
      <c r="E386" s="1086"/>
      <c r="F386" s="1069"/>
      <c r="G386" s="1069"/>
      <c r="H386" s="1069"/>
      <c r="I386" s="1069"/>
      <c r="J386" s="1070"/>
      <c r="K386" s="1082"/>
      <c r="L386" s="1079"/>
      <c r="M386" s="1094"/>
      <c r="N386" s="1094"/>
      <c r="O386" s="1094"/>
      <c r="P386" s="1094"/>
      <c r="Q386" s="1094"/>
      <c r="R386" s="1094"/>
      <c r="S386" s="1094"/>
      <c r="T386" s="1094"/>
      <c r="U386" s="1094"/>
      <c r="V386" s="1094"/>
      <c r="W386" s="1094"/>
      <c r="X386" s="1094"/>
      <c r="Y386" s="1094"/>
      <c r="Z386" s="1094"/>
      <c r="AA386" s="1095"/>
      <c r="AB386" s="1095"/>
      <c r="AC386" s="1095"/>
      <c r="AD386" s="1095"/>
      <c r="AE386" s="1095"/>
      <c r="AF386" s="1095"/>
      <c r="AG386" s="1095"/>
      <c r="AH386" s="1095"/>
      <c r="AI386" s="1095"/>
      <c r="AJ386" s="1095"/>
      <c r="AK386" s="1095"/>
      <c r="AL386" s="1095"/>
      <c r="AM386" s="1095"/>
      <c r="AN386" s="1095"/>
      <c r="AO386" s="1095"/>
      <c r="AP386" s="1095"/>
      <c r="AQ386" s="1095"/>
      <c r="AR386" s="1095"/>
      <c r="AS386" s="1095"/>
      <c r="AT386" s="1095"/>
      <c r="AU386" s="1095"/>
    </row>
    <row r="387" spans="1:80" ht="30" x14ac:dyDescent="0.25">
      <c r="A387" s="99">
        <v>906</v>
      </c>
      <c r="B387" s="1116">
        <v>906</v>
      </c>
      <c r="C387" s="1116" t="s">
        <v>1542</v>
      </c>
      <c r="D387" s="1117" t="s">
        <v>639</v>
      </c>
      <c r="E387" s="1091">
        <v>1</v>
      </c>
      <c r="F387" s="1071">
        <v>1</v>
      </c>
      <c r="G387" s="1071">
        <v>1</v>
      </c>
      <c r="H387" s="1071">
        <v>1</v>
      </c>
      <c r="I387" s="1071">
        <v>1</v>
      </c>
      <c r="J387" s="1072">
        <v>1</v>
      </c>
      <c r="K387" s="1096">
        <v>1</v>
      </c>
      <c r="L387" s="1097">
        <v>0</v>
      </c>
      <c r="M387" s="1097">
        <v>2</v>
      </c>
      <c r="N387" s="1097">
        <v>1</v>
      </c>
      <c r="O387" s="1097">
        <v>1</v>
      </c>
      <c r="P387" s="1097">
        <v>1</v>
      </c>
      <c r="Q387" s="1097">
        <v>1</v>
      </c>
      <c r="R387" s="1097">
        <v>0</v>
      </c>
      <c r="S387" s="1097">
        <v>1</v>
      </c>
      <c r="T387" s="1097">
        <v>0</v>
      </c>
      <c r="U387" s="1097">
        <v>1</v>
      </c>
      <c r="V387" s="1097">
        <v>1</v>
      </c>
      <c r="W387" s="1097">
        <v>1</v>
      </c>
      <c r="X387" s="1097">
        <v>1</v>
      </c>
      <c r="Y387" s="1097">
        <v>1</v>
      </c>
      <c r="Z387" s="1097">
        <v>1</v>
      </c>
      <c r="AA387" s="1096">
        <v>1</v>
      </c>
      <c r="AB387" s="1096">
        <v>0</v>
      </c>
      <c r="AC387" s="1096">
        <v>1</v>
      </c>
      <c r="AD387" s="1096">
        <v>1</v>
      </c>
      <c r="AE387" s="1096">
        <v>1</v>
      </c>
      <c r="AF387" s="1096">
        <v>1</v>
      </c>
      <c r="AG387" s="1096">
        <v>1</v>
      </c>
      <c r="AH387" s="1096">
        <v>1</v>
      </c>
      <c r="AI387" s="1096">
        <v>0</v>
      </c>
      <c r="AJ387" s="1096">
        <v>1</v>
      </c>
      <c r="AK387" s="1096">
        <v>1</v>
      </c>
      <c r="AL387" s="1096">
        <v>1</v>
      </c>
      <c r="AM387" s="1096">
        <v>1</v>
      </c>
      <c r="AN387" s="1096">
        <v>1</v>
      </c>
      <c r="AO387" s="1096">
        <v>1</v>
      </c>
      <c r="AP387" s="1096">
        <v>1</v>
      </c>
      <c r="AQ387" s="1096">
        <v>1</v>
      </c>
      <c r="AR387" s="1096">
        <v>1</v>
      </c>
      <c r="AS387" s="1096">
        <v>1</v>
      </c>
      <c r="AT387" s="1096">
        <v>1</v>
      </c>
      <c r="AU387" s="1096">
        <v>1</v>
      </c>
    </row>
    <row r="388" spans="1:80" ht="30" x14ac:dyDescent="0.25">
      <c r="A388" s="99">
        <v>907</v>
      </c>
      <c r="B388" s="1116">
        <v>907</v>
      </c>
      <c r="C388" s="1116" t="s">
        <v>1542</v>
      </c>
      <c r="D388" s="1117" t="s">
        <v>640</v>
      </c>
      <c r="E388" s="1091">
        <v>2</v>
      </c>
      <c r="F388" s="1071">
        <v>2</v>
      </c>
      <c r="G388" s="1071">
        <v>2</v>
      </c>
      <c r="H388" s="1071">
        <v>2</v>
      </c>
      <c r="I388" s="1071">
        <v>2</v>
      </c>
      <c r="J388" s="1072">
        <v>1</v>
      </c>
      <c r="K388" s="1096">
        <v>2</v>
      </c>
      <c r="L388" s="1097">
        <v>0</v>
      </c>
      <c r="M388" s="1097">
        <v>2</v>
      </c>
      <c r="N388" s="1097">
        <v>2</v>
      </c>
      <c r="O388" s="1097">
        <v>2</v>
      </c>
      <c r="P388" s="1097">
        <v>2</v>
      </c>
      <c r="Q388" s="1097">
        <v>2</v>
      </c>
      <c r="R388" s="1097">
        <v>0</v>
      </c>
      <c r="S388" s="1097">
        <v>1</v>
      </c>
      <c r="T388" s="1097">
        <v>0</v>
      </c>
      <c r="U388" s="1097">
        <v>1</v>
      </c>
      <c r="V388" s="1097">
        <v>2</v>
      </c>
      <c r="W388" s="1097">
        <v>2</v>
      </c>
      <c r="X388" s="1097">
        <v>2</v>
      </c>
      <c r="Y388" s="1097">
        <v>2</v>
      </c>
      <c r="Z388" s="1097">
        <v>2</v>
      </c>
      <c r="AA388" s="1096">
        <v>2</v>
      </c>
      <c r="AB388" s="1096">
        <v>0</v>
      </c>
      <c r="AC388" s="1096">
        <v>2</v>
      </c>
      <c r="AD388" s="1096">
        <v>2</v>
      </c>
      <c r="AE388" s="1096">
        <v>1</v>
      </c>
      <c r="AF388" s="1096">
        <v>2</v>
      </c>
      <c r="AG388" s="1096">
        <v>2</v>
      </c>
      <c r="AH388" s="1096">
        <v>1</v>
      </c>
      <c r="AI388" s="1096">
        <v>0</v>
      </c>
      <c r="AJ388" s="1096">
        <v>2</v>
      </c>
      <c r="AK388" s="1096">
        <v>1</v>
      </c>
      <c r="AL388" s="1096">
        <v>2</v>
      </c>
      <c r="AM388" s="1096">
        <v>2</v>
      </c>
      <c r="AN388" s="1096">
        <v>2</v>
      </c>
      <c r="AO388" s="1096">
        <v>2</v>
      </c>
      <c r="AP388" s="1096">
        <v>2</v>
      </c>
      <c r="AQ388" s="1096">
        <v>2</v>
      </c>
      <c r="AR388" s="1096">
        <v>2</v>
      </c>
      <c r="AS388" s="1096">
        <v>2</v>
      </c>
      <c r="AT388" s="1096">
        <v>1</v>
      </c>
      <c r="AU388" s="1096">
        <v>2</v>
      </c>
    </row>
    <row r="389" spans="1:80" ht="45" x14ac:dyDescent="0.25">
      <c r="A389" s="99">
        <v>951</v>
      </c>
      <c r="B389" s="1116">
        <v>951</v>
      </c>
      <c r="C389" s="1116" t="s">
        <v>1542</v>
      </c>
      <c r="D389" s="1117" t="s">
        <v>641</v>
      </c>
      <c r="E389" s="1091">
        <v>2</v>
      </c>
      <c r="F389" s="1071">
        <v>2</v>
      </c>
      <c r="G389" s="1071">
        <v>2</v>
      </c>
      <c r="H389" s="1071">
        <v>2</v>
      </c>
      <c r="I389" s="1071">
        <v>2</v>
      </c>
      <c r="J389" s="1072">
        <v>2</v>
      </c>
      <c r="K389" s="1096">
        <v>2</v>
      </c>
      <c r="L389" s="1097">
        <v>0</v>
      </c>
      <c r="M389" s="1097">
        <v>2</v>
      </c>
      <c r="N389" s="1097">
        <v>2</v>
      </c>
      <c r="O389" s="1097">
        <v>2</v>
      </c>
      <c r="P389" s="1097">
        <v>2</v>
      </c>
      <c r="Q389" s="1097">
        <v>2</v>
      </c>
      <c r="R389" s="1097">
        <v>0</v>
      </c>
      <c r="S389" s="1097">
        <v>1</v>
      </c>
      <c r="T389" s="1097">
        <v>0</v>
      </c>
      <c r="U389" s="1097">
        <v>2</v>
      </c>
      <c r="V389" s="1097">
        <v>2</v>
      </c>
      <c r="W389" s="1097">
        <v>2</v>
      </c>
      <c r="X389" s="1097">
        <v>2</v>
      </c>
      <c r="Y389" s="1097">
        <v>2</v>
      </c>
      <c r="Z389" s="1097">
        <v>2</v>
      </c>
      <c r="AA389" s="1096">
        <v>2</v>
      </c>
      <c r="AB389" s="1096">
        <v>0</v>
      </c>
      <c r="AC389" s="1096">
        <v>2</v>
      </c>
      <c r="AD389" s="1096">
        <v>2</v>
      </c>
      <c r="AE389" s="1096">
        <v>2</v>
      </c>
      <c r="AF389" s="1096">
        <v>2</v>
      </c>
      <c r="AG389" s="1096">
        <v>2</v>
      </c>
      <c r="AH389" s="1096">
        <v>2</v>
      </c>
      <c r="AI389" s="1096">
        <v>0</v>
      </c>
      <c r="AJ389" s="1096">
        <v>2</v>
      </c>
      <c r="AK389" s="1096">
        <v>2</v>
      </c>
      <c r="AL389" s="1096">
        <v>2</v>
      </c>
      <c r="AM389" s="1096">
        <v>2</v>
      </c>
      <c r="AN389" s="1096">
        <v>2</v>
      </c>
      <c r="AO389" s="1096">
        <v>2</v>
      </c>
      <c r="AP389" s="1096">
        <v>2</v>
      </c>
      <c r="AQ389" s="1096">
        <v>2</v>
      </c>
      <c r="AR389" s="1096">
        <v>2</v>
      </c>
      <c r="AS389" s="1096">
        <v>2</v>
      </c>
      <c r="AT389" s="1096">
        <v>2</v>
      </c>
      <c r="AU389" s="1096">
        <v>2</v>
      </c>
    </row>
    <row r="390" spans="1:80" ht="30" x14ac:dyDescent="0.25">
      <c r="A390" s="99">
        <v>953</v>
      </c>
      <c r="B390" s="1116">
        <v>953</v>
      </c>
      <c r="C390" s="1116" t="s">
        <v>1542</v>
      </c>
      <c r="D390" s="1117" t="s">
        <v>642</v>
      </c>
      <c r="E390" s="1091">
        <v>2</v>
      </c>
      <c r="F390" s="1071">
        <v>2</v>
      </c>
      <c r="G390" s="1071">
        <v>2</v>
      </c>
      <c r="H390" s="1071">
        <v>2</v>
      </c>
      <c r="I390" s="1071">
        <v>2</v>
      </c>
      <c r="J390" s="1072">
        <v>2</v>
      </c>
      <c r="K390" s="1096">
        <v>2</v>
      </c>
      <c r="L390" s="1097">
        <v>0</v>
      </c>
      <c r="M390" s="1097">
        <v>2</v>
      </c>
      <c r="N390" s="1097">
        <v>2</v>
      </c>
      <c r="O390" s="1097">
        <v>2</v>
      </c>
      <c r="P390" s="1097">
        <v>2</v>
      </c>
      <c r="Q390" s="1097">
        <v>2</v>
      </c>
      <c r="R390" s="1097">
        <v>0</v>
      </c>
      <c r="S390" s="1097">
        <v>2</v>
      </c>
      <c r="T390" s="1097">
        <v>0</v>
      </c>
      <c r="U390" s="1097">
        <v>2</v>
      </c>
      <c r="V390" s="1097">
        <v>2</v>
      </c>
      <c r="W390" s="1097">
        <v>2</v>
      </c>
      <c r="X390" s="1097">
        <v>2</v>
      </c>
      <c r="Y390" s="1097">
        <v>2</v>
      </c>
      <c r="Z390" s="1097">
        <v>2</v>
      </c>
      <c r="AA390" s="1096">
        <v>2</v>
      </c>
      <c r="AB390" s="1096">
        <v>0</v>
      </c>
      <c r="AC390" s="1096">
        <v>2</v>
      </c>
      <c r="AD390" s="1096">
        <v>2</v>
      </c>
      <c r="AE390" s="1096">
        <v>2</v>
      </c>
      <c r="AF390" s="1096">
        <v>2</v>
      </c>
      <c r="AG390" s="1096">
        <v>2</v>
      </c>
      <c r="AH390" s="1096">
        <v>2</v>
      </c>
      <c r="AI390" s="1096">
        <v>0</v>
      </c>
      <c r="AJ390" s="1096">
        <v>2</v>
      </c>
      <c r="AK390" s="1096">
        <v>2</v>
      </c>
      <c r="AL390" s="1096">
        <v>2</v>
      </c>
      <c r="AM390" s="1096">
        <v>2</v>
      </c>
      <c r="AN390" s="1096">
        <v>2</v>
      </c>
      <c r="AO390" s="1096">
        <v>2</v>
      </c>
      <c r="AP390" s="1096">
        <v>2</v>
      </c>
      <c r="AQ390" s="1096">
        <v>2</v>
      </c>
      <c r="AR390" s="1096">
        <v>2</v>
      </c>
      <c r="AS390" s="1096">
        <v>2</v>
      </c>
      <c r="AT390" s="1096">
        <v>2</v>
      </c>
      <c r="AU390" s="1096">
        <v>2</v>
      </c>
    </row>
    <row r="391" spans="1:80" ht="30" x14ac:dyDescent="0.25">
      <c r="A391" s="99">
        <v>955</v>
      </c>
      <c r="B391" s="1116">
        <v>955</v>
      </c>
      <c r="C391" s="1116" t="s">
        <v>1542</v>
      </c>
      <c r="D391" s="1117" t="s">
        <v>652</v>
      </c>
      <c r="E391" s="1091">
        <v>0</v>
      </c>
      <c r="F391" s="1071">
        <v>0</v>
      </c>
      <c r="G391" s="1071">
        <v>0</v>
      </c>
      <c r="H391" s="1071">
        <v>0</v>
      </c>
      <c r="I391" s="1071">
        <v>0</v>
      </c>
      <c r="J391" s="1072">
        <v>1</v>
      </c>
      <c r="K391" s="1096">
        <v>0</v>
      </c>
      <c r="L391" s="1097">
        <v>0</v>
      </c>
      <c r="M391" s="1097">
        <v>0</v>
      </c>
      <c r="N391" s="1097">
        <v>0</v>
      </c>
      <c r="O391" s="1097">
        <v>0</v>
      </c>
      <c r="P391" s="1097">
        <v>0</v>
      </c>
      <c r="Q391" s="1097">
        <v>0</v>
      </c>
      <c r="R391" s="1097">
        <v>0</v>
      </c>
      <c r="S391" s="1097">
        <v>1</v>
      </c>
      <c r="T391" s="1097">
        <v>0</v>
      </c>
      <c r="U391" s="1097">
        <v>0</v>
      </c>
      <c r="V391" s="1097">
        <v>0</v>
      </c>
      <c r="W391" s="1097">
        <v>0</v>
      </c>
      <c r="X391" s="1097">
        <v>0</v>
      </c>
      <c r="Y391" s="1097">
        <v>0</v>
      </c>
      <c r="Z391" s="1097">
        <v>0</v>
      </c>
      <c r="AA391" s="1096">
        <v>0</v>
      </c>
      <c r="AB391" s="1096">
        <v>0</v>
      </c>
      <c r="AC391" s="1096">
        <v>0</v>
      </c>
      <c r="AD391" s="1096">
        <v>0</v>
      </c>
      <c r="AE391" s="1096">
        <v>0</v>
      </c>
      <c r="AF391" s="1096">
        <v>0</v>
      </c>
      <c r="AG391" s="1096">
        <v>0</v>
      </c>
      <c r="AH391" s="1096">
        <v>0</v>
      </c>
      <c r="AI391" s="1096">
        <v>0</v>
      </c>
      <c r="AJ391" s="1096">
        <v>0</v>
      </c>
      <c r="AK391" s="1096">
        <v>0</v>
      </c>
      <c r="AL391" s="1096">
        <v>0</v>
      </c>
      <c r="AM391" s="1096">
        <v>0</v>
      </c>
      <c r="AN391" s="1096">
        <v>0</v>
      </c>
      <c r="AO391" s="1096">
        <v>0</v>
      </c>
      <c r="AP391" s="1096">
        <v>0</v>
      </c>
      <c r="AQ391" s="1096">
        <v>0</v>
      </c>
      <c r="AR391" s="1096">
        <v>0</v>
      </c>
      <c r="AS391" s="1096">
        <v>0</v>
      </c>
      <c r="AT391" s="1096">
        <v>0</v>
      </c>
      <c r="AU391" s="1096">
        <v>0</v>
      </c>
    </row>
    <row r="392" spans="1:80" ht="30" x14ac:dyDescent="0.25">
      <c r="A392" s="99">
        <v>957</v>
      </c>
      <c r="B392" s="1116">
        <v>957</v>
      </c>
      <c r="C392" s="1116" t="s">
        <v>1542</v>
      </c>
      <c r="D392" s="1117" t="s">
        <v>653</v>
      </c>
      <c r="E392" s="1091">
        <v>0</v>
      </c>
      <c r="F392" s="1071">
        <v>0</v>
      </c>
      <c r="G392" s="1071">
        <v>0</v>
      </c>
      <c r="H392" s="1071">
        <v>0</v>
      </c>
      <c r="I392" s="1071">
        <v>0</v>
      </c>
      <c r="J392" s="1072">
        <v>0</v>
      </c>
      <c r="K392" s="1096">
        <v>0</v>
      </c>
      <c r="L392" s="1097">
        <v>0</v>
      </c>
      <c r="M392" s="1097">
        <v>0</v>
      </c>
      <c r="N392" s="1097">
        <v>0</v>
      </c>
      <c r="O392" s="1097">
        <v>0</v>
      </c>
      <c r="P392" s="1097">
        <v>0</v>
      </c>
      <c r="Q392" s="1097">
        <v>0</v>
      </c>
      <c r="R392" s="1097">
        <v>0</v>
      </c>
      <c r="S392" s="1097">
        <v>0</v>
      </c>
      <c r="T392" s="1097">
        <v>0</v>
      </c>
      <c r="U392" s="1097">
        <v>0</v>
      </c>
      <c r="V392" s="1097">
        <v>0</v>
      </c>
      <c r="W392" s="1097">
        <v>0</v>
      </c>
      <c r="X392" s="1097">
        <v>0</v>
      </c>
      <c r="Y392" s="1097">
        <v>0</v>
      </c>
      <c r="Z392" s="1097">
        <v>0</v>
      </c>
      <c r="AA392" s="1096">
        <v>0</v>
      </c>
      <c r="AB392" s="1096">
        <v>0</v>
      </c>
      <c r="AC392" s="1096">
        <v>0</v>
      </c>
      <c r="AD392" s="1096">
        <v>0</v>
      </c>
      <c r="AE392" s="1096">
        <v>0</v>
      </c>
      <c r="AF392" s="1096">
        <v>0</v>
      </c>
      <c r="AG392" s="1096">
        <v>0</v>
      </c>
      <c r="AH392" s="1096">
        <v>0</v>
      </c>
      <c r="AI392" s="1096">
        <v>0</v>
      </c>
      <c r="AJ392" s="1096">
        <v>0</v>
      </c>
      <c r="AK392" s="1096">
        <v>0</v>
      </c>
      <c r="AL392" s="1096">
        <v>0</v>
      </c>
      <c r="AM392" s="1096">
        <v>0</v>
      </c>
      <c r="AN392" s="1096">
        <v>0</v>
      </c>
      <c r="AO392" s="1096">
        <v>0</v>
      </c>
      <c r="AP392" s="1096">
        <v>0</v>
      </c>
      <c r="AQ392" s="1096">
        <v>0</v>
      </c>
      <c r="AR392" s="1096">
        <v>0</v>
      </c>
      <c r="AS392" s="1096">
        <v>1</v>
      </c>
      <c r="AT392" s="1096">
        <v>0</v>
      </c>
      <c r="AU392" s="1096">
        <v>0</v>
      </c>
    </row>
    <row r="393" spans="1:80" ht="75" x14ac:dyDescent="0.25">
      <c r="A393" s="99">
        <v>959</v>
      </c>
      <c r="B393" s="1116">
        <v>959</v>
      </c>
      <c r="C393" s="1116" t="s">
        <v>1542</v>
      </c>
      <c r="D393" s="1117" t="s">
        <v>643</v>
      </c>
      <c r="E393" s="1091">
        <v>2</v>
      </c>
      <c r="F393" s="1071">
        <v>3</v>
      </c>
      <c r="G393" s="1071">
        <v>3</v>
      </c>
      <c r="H393" s="1071">
        <v>3</v>
      </c>
      <c r="I393" s="1071">
        <v>3</v>
      </c>
      <c r="J393" s="1072">
        <v>3</v>
      </c>
      <c r="K393" s="1096">
        <v>2</v>
      </c>
      <c r="L393" s="1097">
        <v>0</v>
      </c>
      <c r="M393" s="1097">
        <v>2</v>
      </c>
      <c r="N393" s="1097">
        <v>2</v>
      </c>
      <c r="O393" s="1097">
        <v>3</v>
      </c>
      <c r="P393" s="1097">
        <v>3</v>
      </c>
      <c r="Q393" s="1097">
        <v>2</v>
      </c>
      <c r="R393" s="1097">
        <v>0</v>
      </c>
      <c r="S393" s="1097">
        <v>3</v>
      </c>
      <c r="T393" s="1097">
        <v>0</v>
      </c>
      <c r="U393" s="1097">
        <v>3</v>
      </c>
      <c r="V393" s="1097">
        <v>3</v>
      </c>
      <c r="W393" s="1097">
        <v>2</v>
      </c>
      <c r="X393" s="1097">
        <v>2</v>
      </c>
      <c r="Y393" s="1097">
        <v>3</v>
      </c>
      <c r="Z393" s="1097">
        <v>3</v>
      </c>
      <c r="AA393" s="1096">
        <v>2</v>
      </c>
      <c r="AB393" s="1096">
        <v>0</v>
      </c>
      <c r="AC393" s="1096">
        <v>2</v>
      </c>
      <c r="AD393" s="1096">
        <v>3</v>
      </c>
      <c r="AE393" s="1096">
        <v>3</v>
      </c>
      <c r="AF393" s="1096">
        <v>2</v>
      </c>
      <c r="AG393" s="1096">
        <v>2</v>
      </c>
      <c r="AH393" s="1096">
        <v>3</v>
      </c>
      <c r="AI393" s="1096">
        <v>0</v>
      </c>
      <c r="AJ393" s="1096">
        <v>2</v>
      </c>
      <c r="AK393" s="1096">
        <v>3</v>
      </c>
      <c r="AL393" s="1096">
        <v>3</v>
      </c>
      <c r="AM393" s="1096">
        <v>2</v>
      </c>
      <c r="AN393" s="1096">
        <v>3</v>
      </c>
      <c r="AO393" s="1096">
        <v>3</v>
      </c>
      <c r="AP393" s="1096">
        <v>3</v>
      </c>
      <c r="AQ393" s="1096">
        <v>3</v>
      </c>
      <c r="AR393" s="1096">
        <v>2</v>
      </c>
      <c r="AS393" s="1096">
        <v>2</v>
      </c>
      <c r="AT393" s="1096">
        <v>3</v>
      </c>
      <c r="AU393" s="1096">
        <v>3</v>
      </c>
    </row>
    <row r="394" spans="1:80" ht="75" x14ac:dyDescent="0.25">
      <c r="A394" s="99">
        <v>961</v>
      </c>
      <c r="B394" s="1116">
        <v>961</v>
      </c>
      <c r="C394" s="1116" t="s">
        <v>1542</v>
      </c>
      <c r="D394" s="1117" t="s">
        <v>644</v>
      </c>
      <c r="E394" s="1091">
        <v>3</v>
      </c>
      <c r="F394" s="1071">
        <v>3</v>
      </c>
      <c r="G394" s="1071">
        <v>3</v>
      </c>
      <c r="H394" s="1071">
        <v>3</v>
      </c>
      <c r="I394" s="1071">
        <v>3</v>
      </c>
      <c r="J394" s="1072">
        <v>3</v>
      </c>
      <c r="K394" s="1096">
        <v>2</v>
      </c>
      <c r="L394" s="1097">
        <v>0</v>
      </c>
      <c r="M394" s="1097">
        <v>2</v>
      </c>
      <c r="N394" s="1097">
        <v>2</v>
      </c>
      <c r="O394" s="1097">
        <v>3</v>
      </c>
      <c r="P394" s="1097">
        <v>3</v>
      </c>
      <c r="Q394" s="1097">
        <v>3</v>
      </c>
      <c r="R394" s="1097">
        <v>0</v>
      </c>
      <c r="S394" s="1097">
        <v>3</v>
      </c>
      <c r="T394" s="1097">
        <v>0</v>
      </c>
      <c r="U394" s="1097">
        <v>3</v>
      </c>
      <c r="V394" s="1097">
        <v>3</v>
      </c>
      <c r="W394" s="1097">
        <v>2</v>
      </c>
      <c r="X394" s="1097">
        <v>2</v>
      </c>
      <c r="Y394" s="1097">
        <v>3</v>
      </c>
      <c r="Z394" s="1097">
        <v>3</v>
      </c>
      <c r="AA394" s="1096">
        <v>2</v>
      </c>
      <c r="AB394" s="1096">
        <v>0</v>
      </c>
      <c r="AC394" s="1096">
        <v>3</v>
      </c>
      <c r="AD394" s="1096">
        <v>3</v>
      </c>
      <c r="AE394" s="1096">
        <v>3</v>
      </c>
      <c r="AF394" s="1096">
        <v>2</v>
      </c>
      <c r="AG394" s="1096">
        <v>2</v>
      </c>
      <c r="AH394" s="1096">
        <v>3</v>
      </c>
      <c r="AI394" s="1096">
        <v>0</v>
      </c>
      <c r="AJ394" s="1096">
        <v>2</v>
      </c>
      <c r="AK394" s="1096">
        <v>3</v>
      </c>
      <c r="AL394" s="1096">
        <v>3</v>
      </c>
      <c r="AM394" s="1096">
        <v>2</v>
      </c>
      <c r="AN394" s="1096">
        <v>3</v>
      </c>
      <c r="AO394" s="1096">
        <v>3</v>
      </c>
      <c r="AP394" s="1096">
        <v>3</v>
      </c>
      <c r="AQ394" s="1096">
        <v>3</v>
      </c>
      <c r="AR394" s="1096">
        <v>2</v>
      </c>
      <c r="AS394" s="1096">
        <v>2</v>
      </c>
      <c r="AT394" s="1096">
        <v>3</v>
      </c>
      <c r="AU394" s="1096">
        <v>3</v>
      </c>
    </row>
    <row r="395" spans="1:80" x14ac:dyDescent="0.25">
      <c r="A395" s="99">
        <v>963</v>
      </c>
      <c r="B395" s="1116">
        <v>963</v>
      </c>
      <c r="C395" s="1116" t="s">
        <v>1542</v>
      </c>
      <c r="D395" s="1117" t="s">
        <v>645</v>
      </c>
      <c r="E395" s="1091">
        <v>3</v>
      </c>
      <c r="F395" s="1071">
        <v>3</v>
      </c>
      <c r="G395" s="1071">
        <v>3</v>
      </c>
      <c r="H395" s="1071">
        <v>3</v>
      </c>
      <c r="I395" s="1071">
        <v>3</v>
      </c>
      <c r="J395" s="1072">
        <v>3</v>
      </c>
      <c r="K395" s="1096">
        <v>3</v>
      </c>
      <c r="L395" s="1097">
        <v>0</v>
      </c>
      <c r="M395" s="1097">
        <v>3</v>
      </c>
      <c r="N395" s="1097">
        <v>3</v>
      </c>
      <c r="O395" s="1097">
        <v>3</v>
      </c>
      <c r="P395" s="1097">
        <v>3</v>
      </c>
      <c r="Q395" s="1097">
        <v>3</v>
      </c>
      <c r="R395" s="1097">
        <v>0</v>
      </c>
      <c r="S395" s="1097">
        <v>3</v>
      </c>
      <c r="T395" s="1097">
        <v>0</v>
      </c>
      <c r="U395" s="1097">
        <v>3</v>
      </c>
      <c r="V395" s="1097">
        <v>3</v>
      </c>
      <c r="W395" s="1097">
        <v>1</v>
      </c>
      <c r="X395" s="1097">
        <v>1</v>
      </c>
      <c r="Y395" s="1097">
        <v>3</v>
      </c>
      <c r="Z395" s="1097">
        <v>3</v>
      </c>
      <c r="AA395" s="1096">
        <v>3</v>
      </c>
      <c r="AB395" s="1096">
        <v>0</v>
      </c>
      <c r="AC395" s="1096">
        <v>1</v>
      </c>
      <c r="AD395" s="1096">
        <v>3</v>
      </c>
      <c r="AE395" s="1096">
        <v>3</v>
      </c>
      <c r="AF395" s="1096">
        <v>3</v>
      </c>
      <c r="AG395" s="1096">
        <v>3</v>
      </c>
      <c r="AH395" s="1096">
        <v>3</v>
      </c>
      <c r="AI395" s="1096">
        <v>0</v>
      </c>
      <c r="AJ395" s="1096">
        <v>3</v>
      </c>
      <c r="AK395" s="1096">
        <v>3</v>
      </c>
      <c r="AL395" s="1096">
        <v>3</v>
      </c>
      <c r="AM395" s="1096">
        <v>3</v>
      </c>
      <c r="AN395" s="1096">
        <v>3</v>
      </c>
      <c r="AO395" s="1096">
        <v>3</v>
      </c>
      <c r="AP395" s="1096">
        <v>3</v>
      </c>
      <c r="AQ395" s="1096">
        <v>3</v>
      </c>
      <c r="AR395" s="1096">
        <v>1</v>
      </c>
      <c r="AS395" s="1096">
        <v>3</v>
      </c>
      <c r="AT395" s="1096">
        <v>3</v>
      </c>
      <c r="AU395" s="1096">
        <v>3</v>
      </c>
    </row>
    <row r="396" spans="1:80" ht="30" x14ac:dyDescent="0.25">
      <c r="A396" s="99">
        <v>965</v>
      </c>
      <c r="B396" s="1116">
        <v>965</v>
      </c>
      <c r="C396" s="1116" t="s">
        <v>1542</v>
      </c>
      <c r="D396" s="1117" t="s">
        <v>646</v>
      </c>
      <c r="E396" s="1091">
        <v>1</v>
      </c>
      <c r="F396" s="1071">
        <v>1</v>
      </c>
      <c r="G396" s="1071">
        <v>1</v>
      </c>
      <c r="H396" s="1071">
        <v>1</v>
      </c>
      <c r="I396" s="1071">
        <v>1</v>
      </c>
      <c r="J396" s="1072">
        <v>1</v>
      </c>
      <c r="K396" s="1096">
        <v>1</v>
      </c>
      <c r="L396" s="1097">
        <v>0</v>
      </c>
      <c r="M396" s="1097">
        <v>1</v>
      </c>
      <c r="N396" s="1097">
        <v>1</v>
      </c>
      <c r="O396" s="1097">
        <v>1</v>
      </c>
      <c r="P396" s="1097">
        <v>1</v>
      </c>
      <c r="Q396" s="1097">
        <v>1</v>
      </c>
      <c r="R396" s="1097">
        <v>0</v>
      </c>
      <c r="S396" s="1097">
        <v>1</v>
      </c>
      <c r="T396" s="1097">
        <v>0</v>
      </c>
      <c r="U396" s="1097">
        <v>1</v>
      </c>
      <c r="V396" s="1097">
        <v>1</v>
      </c>
      <c r="W396" s="1097">
        <v>1</v>
      </c>
      <c r="X396" s="1097">
        <v>1</v>
      </c>
      <c r="Y396" s="1097">
        <v>1</v>
      </c>
      <c r="Z396" s="1097">
        <v>1</v>
      </c>
      <c r="AA396" s="1096">
        <v>1</v>
      </c>
      <c r="AB396" s="1096">
        <v>0</v>
      </c>
      <c r="AC396" s="1096">
        <v>1</v>
      </c>
      <c r="AD396" s="1096">
        <v>1</v>
      </c>
      <c r="AE396" s="1096">
        <v>1</v>
      </c>
      <c r="AF396" s="1096">
        <v>1</v>
      </c>
      <c r="AG396" s="1096">
        <v>1</v>
      </c>
      <c r="AH396" s="1096">
        <v>1</v>
      </c>
      <c r="AI396" s="1096">
        <v>0</v>
      </c>
      <c r="AJ396" s="1096">
        <v>1</v>
      </c>
      <c r="AK396" s="1096">
        <v>1</v>
      </c>
      <c r="AL396" s="1096">
        <v>2</v>
      </c>
      <c r="AM396" s="1096">
        <v>1</v>
      </c>
      <c r="AN396" s="1096">
        <v>1</v>
      </c>
      <c r="AO396" s="1096">
        <v>1</v>
      </c>
      <c r="AP396" s="1096">
        <v>1</v>
      </c>
      <c r="AQ396" s="1096">
        <v>1</v>
      </c>
      <c r="AR396" s="1096">
        <v>1</v>
      </c>
      <c r="AS396" s="1096">
        <v>1</v>
      </c>
      <c r="AT396" s="1096">
        <v>1</v>
      </c>
      <c r="AU396" s="1096">
        <v>1</v>
      </c>
      <c r="AV396" s="407"/>
      <c r="AW396" s="407"/>
      <c r="AX396" s="407"/>
      <c r="AY396" s="407"/>
      <c r="AZ396" s="407"/>
      <c r="BA396" s="407"/>
      <c r="BB396" s="407"/>
      <c r="BC396" s="407"/>
      <c r="BD396" s="407"/>
      <c r="BE396" s="407"/>
      <c r="BF396" s="407"/>
      <c r="BG396" s="407"/>
      <c r="BH396" s="407"/>
      <c r="BI396" s="407"/>
      <c r="BJ396" s="407"/>
      <c r="BK396" s="407"/>
      <c r="BL396" s="407"/>
      <c r="BM396" s="407"/>
      <c r="BN396" s="407"/>
      <c r="BO396" s="407"/>
      <c r="BP396" s="407"/>
      <c r="BQ396" s="407"/>
      <c r="BR396" s="407"/>
      <c r="BS396" s="407"/>
      <c r="BT396" s="407"/>
      <c r="BU396" s="407"/>
      <c r="BV396" s="407"/>
      <c r="BW396" s="407"/>
      <c r="BX396" s="407"/>
      <c r="BY396" s="407"/>
      <c r="BZ396" s="407"/>
      <c r="CA396" s="407"/>
      <c r="CB396" s="407"/>
    </row>
    <row r="397" spans="1:80" ht="30" x14ac:dyDescent="0.25">
      <c r="A397" s="99">
        <v>603</v>
      </c>
      <c r="B397" s="1116">
        <v>603</v>
      </c>
      <c r="C397" s="1116" t="s">
        <v>1542</v>
      </c>
      <c r="D397" s="1117" t="s">
        <v>651</v>
      </c>
      <c r="E397" s="1091">
        <v>0</v>
      </c>
      <c r="F397" s="1071">
        <v>0</v>
      </c>
      <c r="G397" s="1071">
        <v>0</v>
      </c>
      <c r="H397" s="1071">
        <v>0</v>
      </c>
      <c r="I397" s="1071">
        <v>0</v>
      </c>
      <c r="J397" s="1072">
        <v>0</v>
      </c>
      <c r="K397" s="1096">
        <v>0</v>
      </c>
      <c r="L397" s="1097">
        <v>0</v>
      </c>
      <c r="M397" s="1097">
        <v>1</v>
      </c>
      <c r="N397" s="1097">
        <v>0</v>
      </c>
      <c r="O397" s="1097">
        <v>0</v>
      </c>
      <c r="P397" s="1097">
        <v>0</v>
      </c>
      <c r="Q397" s="1097">
        <v>0</v>
      </c>
      <c r="R397" s="1097">
        <v>0</v>
      </c>
      <c r="S397" s="1097">
        <v>0</v>
      </c>
      <c r="T397" s="1097">
        <v>0</v>
      </c>
      <c r="U397" s="1097">
        <v>0</v>
      </c>
      <c r="V397" s="1097">
        <v>0</v>
      </c>
      <c r="W397" s="1097">
        <v>0</v>
      </c>
      <c r="X397" s="1097">
        <v>0</v>
      </c>
      <c r="Y397" s="1097">
        <v>0</v>
      </c>
      <c r="Z397" s="1097">
        <v>0</v>
      </c>
      <c r="AA397" s="1096">
        <v>0</v>
      </c>
      <c r="AB397" s="1096">
        <v>0</v>
      </c>
      <c r="AC397" s="1096">
        <v>0</v>
      </c>
      <c r="AD397" s="1096">
        <v>0</v>
      </c>
      <c r="AE397" s="1096">
        <v>0</v>
      </c>
      <c r="AF397" s="1096">
        <v>0</v>
      </c>
      <c r="AG397" s="1096">
        <v>0</v>
      </c>
      <c r="AH397" s="1096">
        <v>0</v>
      </c>
      <c r="AI397" s="1096">
        <v>0</v>
      </c>
      <c r="AJ397" s="1096">
        <v>0</v>
      </c>
      <c r="AK397" s="1096">
        <v>0</v>
      </c>
      <c r="AL397" s="1096">
        <v>0</v>
      </c>
      <c r="AM397" s="1096">
        <v>0</v>
      </c>
      <c r="AN397" s="1096">
        <v>0</v>
      </c>
      <c r="AO397" s="1096">
        <v>0</v>
      </c>
      <c r="AP397" s="1096">
        <v>0</v>
      </c>
      <c r="AQ397" s="1096">
        <v>0</v>
      </c>
      <c r="AR397" s="1096">
        <v>0</v>
      </c>
      <c r="AS397" s="1096">
        <v>2</v>
      </c>
      <c r="AT397" s="1096">
        <v>0</v>
      </c>
      <c r="AU397" s="1096">
        <v>0</v>
      </c>
      <c r="AV397" s="407"/>
      <c r="AW397" s="407"/>
      <c r="AX397" s="407"/>
      <c r="AY397" s="407"/>
      <c r="AZ397" s="407"/>
      <c r="BA397" s="407"/>
      <c r="BB397" s="407"/>
      <c r="BC397" s="407"/>
      <c r="BD397" s="407"/>
      <c r="BE397" s="407"/>
      <c r="BF397" s="407"/>
      <c r="BG397" s="407"/>
      <c r="BH397" s="407"/>
      <c r="BI397" s="407"/>
      <c r="BJ397" s="407"/>
      <c r="BK397" s="407"/>
      <c r="BL397" s="407"/>
      <c r="BM397" s="407"/>
      <c r="BN397" s="407"/>
      <c r="BO397" s="407"/>
      <c r="BP397" s="407"/>
      <c r="BQ397" s="407"/>
      <c r="BR397" s="407"/>
      <c r="BS397" s="407"/>
      <c r="BT397" s="407"/>
      <c r="BU397" s="407"/>
      <c r="BV397" s="407"/>
      <c r="BW397" s="407"/>
      <c r="BX397" s="407"/>
      <c r="BY397" s="407"/>
      <c r="BZ397" s="407"/>
      <c r="CA397" s="407"/>
      <c r="CB397" s="407"/>
    </row>
    <row r="398" spans="1:80" x14ac:dyDescent="0.25">
      <c r="A398" s="99">
        <v>929</v>
      </c>
      <c r="B398" s="1116">
        <v>929</v>
      </c>
      <c r="C398" s="1116" t="s">
        <v>1542</v>
      </c>
      <c r="D398" s="1117" t="s">
        <v>647</v>
      </c>
      <c r="E398" s="1091">
        <v>0</v>
      </c>
      <c r="F398" s="1071">
        <v>0</v>
      </c>
      <c r="G398" s="1071">
        <v>0</v>
      </c>
      <c r="H398" s="1071">
        <v>0</v>
      </c>
      <c r="I398" s="1071">
        <v>0</v>
      </c>
      <c r="J398" s="1072">
        <v>0</v>
      </c>
      <c r="K398" s="1096">
        <v>0</v>
      </c>
      <c r="L398" s="1097">
        <v>0</v>
      </c>
      <c r="M398" s="1097">
        <v>2</v>
      </c>
      <c r="N398" s="1097">
        <v>0</v>
      </c>
      <c r="O398" s="1097">
        <v>0</v>
      </c>
      <c r="P398" s="1097">
        <v>0</v>
      </c>
      <c r="Q398" s="1097">
        <v>0</v>
      </c>
      <c r="R398" s="1097">
        <v>0</v>
      </c>
      <c r="S398" s="1097">
        <v>0</v>
      </c>
      <c r="T398" s="1097">
        <v>0</v>
      </c>
      <c r="U398" s="1097">
        <v>0</v>
      </c>
      <c r="V398" s="1097">
        <v>0</v>
      </c>
      <c r="W398" s="1097">
        <v>0</v>
      </c>
      <c r="X398" s="1097">
        <v>0</v>
      </c>
      <c r="Y398" s="1097">
        <v>0</v>
      </c>
      <c r="Z398" s="1097">
        <v>0</v>
      </c>
      <c r="AA398" s="1096">
        <v>0</v>
      </c>
      <c r="AB398" s="1096">
        <v>0</v>
      </c>
      <c r="AC398" s="1096">
        <v>0</v>
      </c>
      <c r="AD398" s="1096">
        <v>0</v>
      </c>
      <c r="AE398" s="1096">
        <v>0</v>
      </c>
      <c r="AF398" s="1096">
        <v>0</v>
      </c>
      <c r="AG398" s="1096">
        <v>0</v>
      </c>
      <c r="AH398" s="1096">
        <v>0</v>
      </c>
      <c r="AI398" s="1096">
        <v>0</v>
      </c>
      <c r="AJ398" s="1096">
        <v>0</v>
      </c>
      <c r="AK398" s="1096">
        <v>0</v>
      </c>
      <c r="AL398" s="1096">
        <v>0</v>
      </c>
      <c r="AM398" s="1096">
        <v>0</v>
      </c>
      <c r="AN398" s="1096">
        <v>0</v>
      </c>
      <c r="AO398" s="1096">
        <v>0</v>
      </c>
      <c r="AP398" s="1096">
        <v>0</v>
      </c>
      <c r="AQ398" s="1096">
        <v>0</v>
      </c>
      <c r="AR398" s="1096">
        <v>0</v>
      </c>
      <c r="AS398" s="1096">
        <v>2</v>
      </c>
      <c r="AT398" s="1096">
        <v>0</v>
      </c>
      <c r="AU398" s="1096">
        <v>0</v>
      </c>
      <c r="AV398" s="407"/>
      <c r="AW398" s="407"/>
      <c r="AX398" s="407"/>
      <c r="AY398" s="407"/>
      <c r="AZ398" s="407"/>
      <c r="BA398" s="407"/>
      <c r="BB398" s="407"/>
      <c r="BC398" s="407"/>
      <c r="BD398" s="407"/>
      <c r="BE398" s="407"/>
      <c r="BF398" s="407"/>
      <c r="BG398" s="407"/>
      <c r="BH398" s="407"/>
      <c r="BI398" s="407"/>
      <c r="BJ398" s="407"/>
      <c r="BK398" s="407"/>
      <c r="BL398" s="407"/>
      <c r="BM398" s="407"/>
      <c r="BN398" s="407"/>
      <c r="BO398" s="407"/>
      <c r="BP398" s="407"/>
      <c r="BQ398" s="407"/>
      <c r="BR398" s="407"/>
      <c r="BS398" s="407"/>
      <c r="BT398" s="407"/>
      <c r="BU398" s="407"/>
      <c r="BV398" s="407"/>
      <c r="BW398" s="407"/>
      <c r="BX398" s="407"/>
      <c r="BY398" s="407"/>
      <c r="BZ398" s="407"/>
      <c r="CA398" s="407"/>
      <c r="CB398" s="407"/>
    </row>
    <row r="399" spans="1:80" x14ac:dyDescent="0.25">
      <c r="A399" s="99">
        <v>930</v>
      </c>
      <c r="B399" s="1116">
        <v>930</v>
      </c>
      <c r="C399" s="1116" t="s">
        <v>1542</v>
      </c>
      <c r="D399" s="1117" t="s">
        <v>648</v>
      </c>
      <c r="E399" s="1091">
        <v>0</v>
      </c>
      <c r="F399" s="1071">
        <v>0</v>
      </c>
      <c r="G399" s="1071">
        <v>0</v>
      </c>
      <c r="H399" s="1071">
        <v>0</v>
      </c>
      <c r="I399" s="1071">
        <v>0</v>
      </c>
      <c r="J399" s="1072">
        <v>0</v>
      </c>
      <c r="K399" s="1096">
        <v>0</v>
      </c>
      <c r="L399" s="1097">
        <v>0</v>
      </c>
      <c r="M399" s="1097">
        <v>2</v>
      </c>
      <c r="N399" s="1097">
        <v>0</v>
      </c>
      <c r="O399" s="1097">
        <v>0</v>
      </c>
      <c r="P399" s="1097">
        <v>0</v>
      </c>
      <c r="Q399" s="1097">
        <v>0</v>
      </c>
      <c r="R399" s="1097">
        <v>0</v>
      </c>
      <c r="S399" s="1097">
        <v>0</v>
      </c>
      <c r="T399" s="1097">
        <v>0</v>
      </c>
      <c r="U399" s="1097">
        <v>0</v>
      </c>
      <c r="V399" s="1097">
        <v>0</v>
      </c>
      <c r="W399" s="1097">
        <v>0</v>
      </c>
      <c r="X399" s="1097">
        <v>0</v>
      </c>
      <c r="Y399" s="1097">
        <v>0</v>
      </c>
      <c r="Z399" s="1097">
        <v>0</v>
      </c>
      <c r="AA399" s="1096">
        <v>0</v>
      </c>
      <c r="AB399" s="1096">
        <v>0</v>
      </c>
      <c r="AC399" s="1096">
        <v>0</v>
      </c>
      <c r="AD399" s="1096">
        <v>0</v>
      </c>
      <c r="AE399" s="1096">
        <v>0</v>
      </c>
      <c r="AF399" s="1096">
        <v>0</v>
      </c>
      <c r="AG399" s="1096">
        <v>0</v>
      </c>
      <c r="AH399" s="1096">
        <v>0</v>
      </c>
      <c r="AI399" s="1096">
        <v>0</v>
      </c>
      <c r="AJ399" s="1096">
        <v>0</v>
      </c>
      <c r="AK399" s="1096">
        <v>0</v>
      </c>
      <c r="AL399" s="1096">
        <v>0</v>
      </c>
      <c r="AM399" s="1096">
        <v>0</v>
      </c>
      <c r="AN399" s="1096">
        <v>0</v>
      </c>
      <c r="AO399" s="1096">
        <v>0</v>
      </c>
      <c r="AP399" s="1096">
        <v>0</v>
      </c>
      <c r="AQ399" s="1096">
        <v>0</v>
      </c>
      <c r="AR399" s="1096">
        <v>0</v>
      </c>
      <c r="AS399" s="1096">
        <v>2</v>
      </c>
      <c r="AT399" s="1096">
        <v>0</v>
      </c>
      <c r="AU399" s="1096">
        <v>0</v>
      </c>
    </row>
    <row r="400" spans="1:80" ht="30" x14ac:dyDescent="0.25">
      <c r="A400" s="99">
        <v>931</v>
      </c>
      <c r="B400" s="1116">
        <v>931</v>
      </c>
      <c r="C400" s="1116" t="s">
        <v>1542</v>
      </c>
      <c r="D400" s="1117" t="s">
        <v>649</v>
      </c>
      <c r="E400" s="1091">
        <v>0</v>
      </c>
      <c r="F400" s="1071">
        <v>0</v>
      </c>
      <c r="G400" s="1071">
        <v>0</v>
      </c>
      <c r="H400" s="1071">
        <v>0</v>
      </c>
      <c r="I400" s="1071">
        <v>0</v>
      </c>
      <c r="J400" s="1072">
        <v>0</v>
      </c>
      <c r="K400" s="1096">
        <v>0</v>
      </c>
      <c r="L400" s="1097">
        <v>0</v>
      </c>
      <c r="M400" s="1097">
        <v>2</v>
      </c>
      <c r="N400" s="1097">
        <v>0</v>
      </c>
      <c r="O400" s="1097">
        <v>0</v>
      </c>
      <c r="P400" s="1097">
        <v>0</v>
      </c>
      <c r="Q400" s="1097">
        <v>0</v>
      </c>
      <c r="R400" s="1097">
        <v>0</v>
      </c>
      <c r="S400" s="1097">
        <v>0</v>
      </c>
      <c r="T400" s="1097">
        <v>0</v>
      </c>
      <c r="U400" s="1097">
        <v>0</v>
      </c>
      <c r="V400" s="1097">
        <v>0</v>
      </c>
      <c r="W400" s="1097">
        <v>0</v>
      </c>
      <c r="X400" s="1097">
        <v>0</v>
      </c>
      <c r="Y400" s="1097">
        <v>0</v>
      </c>
      <c r="Z400" s="1097">
        <v>0</v>
      </c>
      <c r="AA400" s="1096">
        <v>0</v>
      </c>
      <c r="AB400" s="1096">
        <v>0</v>
      </c>
      <c r="AC400" s="1096">
        <v>0</v>
      </c>
      <c r="AD400" s="1096">
        <v>0</v>
      </c>
      <c r="AE400" s="1096">
        <v>0</v>
      </c>
      <c r="AF400" s="1096">
        <v>0</v>
      </c>
      <c r="AG400" s="1096">
        <v>0</v>
      </c>
      <c r="AH400" s="1096">
        <v>0</v>
      </c>
      <c r="AI400" s="1096">
        <v>0</v>
      </c>
      <c r="AJ400" s="1096">
        <v>0</v>
      </c>
      <c r="AK400" s="1096">
        <v>0</v>
      </c>
      <c r="AL400" s="1096">
        <v>0</v>
      </c>
      <c r="AM400" s="1096">
        <v>0</v>
      </c>
      <c r="AN400" s="1096">
        <v>0</v>
      </c>
      <c r="AO400" s="1096">
        <v>0</v>
      </c>
      <c r="AP400" s="1096">
        <v>0</v>
      </c>
      <c r="AQ400" s="1096">
        <v>0</v>
      </c>
      <c r="AR400" s="1096">
        <v>0</v>
      </c>
      <c r="AS400" s="1096">
        <v>2</v>
      </c>
      <c r="AT400" s="1096">
        <v>0</v>
      </c>
      <c r="AU400" s="1096">
        <v>0</v>
      </c>
    </row>
    <row r="401" spans="1:47" ht="30" x14ac:dyDescent="0.25">
      <c r="A401" s="99">
        <v>932</v>
      </c>
      <c r="B401" s="1116">
        <v>932</v>
      </c>
      <c r="C401" s="1116" t="s">
        <v>1542</v>
      </c>
      <c r="D401" s="1117" t="s">
        <v>650</v>
      </c>
      <c r="E401" s="1091">
        <v>0</v>
      </c>
      <c r="F401" s="1071">
        <v>0</v>
      </c>
      <c r="G401" s="1071">
        <v>0</v>
      </c>
      <c r="H401" s="1071">
        <v>0</v>
      </c>
      <c r="I401" s="1071">
        <v>0</v>
      </c>
      <c r="J401" s="1072">
        <v>0</v>
      </c>
      <c r="K401" s="1096">
        <v>0</v>
      </c>
      <c r="L401" s="1097">
        <v>0</v>
      </c>
      <c r="M401" s="1097">
        <v>2</v>
      </c>
      <c r="N401" s="1097">
        <v>0</v>
      </c>
      <c r="O401" s="1097">
        <v>0</v>
      </c>
      <c r="P401" s="1097">
        <v>0</v>
      </c>
      <c r="Q401" s="1097">
        <v>0</v>
      </c>
      <c r="R401" s="1097">
        <v>0</v>
      </c>
      <c r="S401" s="1097">
        <v>0</v>
      </c>
      <c r="T401" s="1097">
        <v>0</v>
      </c>
      <c r="U401" s="1097">
        <v>0</v>
      </c>
      <c r="V401" s="1097">
        <v>0</v>
      </c>
      <c r="W401" s="1097">
        <v>0</v>
      </c>
      <c r="X401" s="1097">
        <v>0</v>
      </c>
      <c r="Y401" s="1097">
        <v>0</v>
      </c>
      <c r="Z401" s="1097">
        <v>0</v>
      </c>
      <c r="AA401" s="1096">
        <v>0</v>
      </c>
      <c r="AB401" s="1096">
        <v>0</v>
      </c>
      <c r="AC401" s="1096">
        <v>0</v>
      </c>
      <c r="AD401" s="1096">
        <v>0</v>
      </c>
      <c r="AE401" s="1096">
        <v>0</v>
      </c>
      <c r="AF401" s="1096">
        <v>0</v>
      </c>
      <c r="AG401" s="1096">
        <v>0</v>
      </c>
      <c r="AH401" s="1096">
        <v>0</v>
      </c>
      <c r="AI401" s="1096">
        <v>0</v>
      </c>
      <c r="AJ401" s="1096">
        <v>0</v>
      </c>
      <c r="AK401" s="1096">
        <v>0</v>
      </c>
      <c r="AL401" s="1096">
        <v>0</v>
      </c>
      <c r="AM401" s="1096">
        <v>0</v>
      </c>
      <c r="AN401" s="1096">
        <v>0</v>
      </c>
      <c r="AO401" s="1096">
        <v>0</v>
      </c>
      <c r="AP401" s="1096">
        <v>0</v>
      </c>
      <c r="AQ401" s="1096">
        <v>0</v>
      </c>
      <c r="AR401" s="1096">
        <v>0</v>
      </c>
      <c r="AS401" s="1096">
        <v>2</v>
      </c>
      <c r="AT401" s="1096">
        <v>0</v>
      </c>
      <c r="AU401" s="1096">
        <v>0</v>
      </c>
    </row>
    <row r="402" spans="1:47" x14ac:dyDescent="0.25">
      <c r="B402" s="99"/>
      <c r="E402" s="1077">
        <v>2626808</v>
      </c>
      <c r="F402" s="1077">
        <v>601782</v>
      </c>
      <c r="G402" s="1077">
        <v>1804435</v>
      </c>
      <c r="H402" s="1077">
        <v>7047553</v>
      </c>
      <c r="I402" s="1077">
        <v>604267</v>
      </c>
      <c r="J402" s="1077">
        <v>605656</v>
      </c>
      <c r="K402" s="1077">
        <v>659852</v>
      </c>
      <c r="L402" s="1077" t="s">
        <v>1547</v>
      </c>
      <c r="M402" s="1077">
        <v>18549819</v>
      </c>
      <c r="N402" s="1077">
        <v>61031</v>
      </c>
      <c r="O402" s="1077">
        <v>601798</v>
      </c>
      <c r="P402" s="1077">
        <v>601798</v>
      </c>
      <c r="Q402" s="1077">
        <v>601800</v>
      </c>
      <c r="R402" s="1077" t="s">
        <v>1565</v>
      </c>
      <c r="S402" s="1077">
        <v>601840</v>
      </c>
      <c r="T402" s="1077" t="s">
        <v>1547</v>
      </c>
      <c r="U402" s="1077">
        <v>604832</v>
      </c>
      <c r="V402" s="1077">
        <v>751177</v>
      </c>
      <c r="W402" s="1077">
        <v>601802</v>
      </c>
      <c r="X402" s="1077">
        <v>570</v>
      </c>
      <c r="Y402" s="1077">
        <v>3364689</v>
      </c>
      <c r="Z402" s="1077">
        <v>740522</v>
      </c>
      <c r="AA402" s="1077">
        <v>601817</v>
      </c>
      <c r="AB402" s="1077" t="s">
        <v>1547</v>
      </c>
      <c r="AC402" s="1077">
        <v>601823</v>
      </c>
      <c r="AD402" s="1077">
        <v>601825</v>
      </c>
      <c r="AE402" s="1077">
        <v>605897</v>
      </c>
      <c r="AF402" s="1077">
        <v>11126539</v>
      </c>
      <c r="AG402" s="1077">
        <v>602448</v>
      </c>
      <c r="AH402" s="1077">
        <v>601840</v>
      </c>
      <c r="AI402" s="1077" t="s">
        <v>1547</v>
      </c>
      <c r="AJ402" s="1077">
        <v>13766330</v>
      </c>
      <c r="AK402" s="1077">
        <v>654987</v>
      </c>
      <c r="AL402" s="1077">
        <v>7186238</v>
      </c>
      <c r="AM402" s="1077">
        <v>602466</v>
      </c>
      <c r="AN402" s="1077">
        <v>601844</v>
      </c>
      <c r="AO402" s="1077">
        <v>603125</v>
      </c>
      <c r="AP402" s="1077">
        <v>602839</v>
      </c>
      <c r="AQ402" s="1077">
        <v>614983</v>
      </c>
      <c r="AR402" s="1077">
        <v>736201</v>
      </c>
      <c r="AS402" s="1077">
        <v>6049989</v>
      </c>
      <c r="AT402" s="1077">
        <v>602413</v>
      </c>
      <c r="AU402" s="1077">
        <v>601855</v>
      </c>
    </row>
    <row r="404" spans="1:47" ht="30" x14ac:dyDescent="0.25">
      <c r="B404" s="99"/>
      <c r="D404" s="1117" t="s">
        <v>1550</v>
      </c>
      <c r="E404" s="1077">
        <v>2393174</v>
      </c>
      <c r="F404" s="1077">
        <v>5608552</v>
      </c>
      <c r="G404" s="1077">
        <v>45795047</v>
      </c>
      <c r="H404" s="1077">
        <v>36556118</v>
      </c>
      <c r="I404" s="1077">
        <v>593381</v>
      </c>
      <c r="J404" s="1077">
        <v>6312330</v>
      </c>
      <c r="K404" s="1077">
        <v>24686043</v>
      </c>
      <c r="L404" s="1077" t="s">
        <v>1547</v>
      </c>
      <c r="M404" s="1077">
        <v>19830869</v>
      </c>
      <c r="N404" s="1077">
        <v>65312758</v>
      </c>
      <c r="O404" s="1077">
        <v>11741160</v>
      </c>
      <c r="P404" s="1077">
        <v>743164</v>
      </c>
      <c r="Q404" s="1077">
        <v>50288761</v>
      </c>
      <c r="R404" s="1077" t="s">
        <v>1565</v>
      </c>
      <c r="S404" s="1077">
        <v>2390000</v>
      </c>
      <c r="T404" s="1077" t="s">
        <v>1547</v>
      </c>
      <c r="U404" s="1077">
        <v>1216712</v>
      </c>
      <c r="V404" s="1077">
        <v>49265583</v>
      </c>
      <c r="W404" s="1077">
        <v>64968772</v>
      </c>
      <c r="X404" s="1077">
        <v>1663928</v>
      </c>
      <c r="Y404" s="1077">
        <v>5398059</v>
      </c>
      <c r="Z404" s="1077">
        <v>1740609</v>
      </c>
      <c r="AA404" s="1077">
        <v>11423675</v>
      </c>
      <c r="AB404" s="1077" t="s">
        <v>1547</v>
      </c>
      <c r="AC404" s="1077">
        <v>1769514</v>
      </c>
      <c r="AD404" s="1077">
        <v>1304808</v>
      </c>
      <c r="AE404" s="1077">
        <v>4722214</v>
      </c>
      <c r="AF404" s="1077">
        <v>538222757</v>
      </c>
      <c r="AG404" s="1077">
        <v>43179047</v>
      </c>
      <c r="AH404" s="1077">
        <v>865686</v>
      </c>
      <c r="AI404" s="1077" t="s">
        <v>1547</v>
      </c>
      <c r="AJ404" s="1077">
        <v>220031559</v>
      </c>
      <c r="AK404" s="1077">
        <v>42213065</v>
      </c>
      <c r="AL404" s="1077">
        <v>2011365458</v>
      </c>
      <c r="AM404" s="1077">
        <v>12187292</v>
      </c>
      <c r="AN404" s="1077">
        <v>3065102</v>
      </c>
      <c r="AO404" s="1077">
        <v>2145219</v>
      </c>
      <c r="AP404" s="1077">
        <v>424069</v>
      </c>
      <c r="AQ404" s="1077">
        <v>1149183</v>
      </c>
      <c r="AR404" s="1077">
        <v>25000076</v>
      </c>
      <c r="AS404" s="1077">
        <v>12613285</v>
      </c>
      <c r="AT404" s="1077">
        <v>4462380</v>
      </c>
      <c r="AU404" s="1077">
        <v>2543146</v>
      </c>
    </row>
    <row r="405" spans="1:47" x14ac:dyDescent="0.25">
      <c r="B405" s="99"/>
      <c r="L405" s="1084" t="s">
        <v>1551</v>
      </c>
    </row>
    <row r="409" spans="1:47" x14ac:dyDescent="0.25">
      <c r="A409" s="1136" t="s">
        <v>1552</v>
      </c>
      <c r="B409" s="1136"/>
      <c r="C409" s="1136"/>
      <c r="D409" s="1136"/>
    </row>
    <row r="410" spans="1:47" x14ac:dyDescent="0.25">
      <c r="B410" s="99">
        <v>947</v>
      </c>
      <c r="D410" s="1084" t="s">
        <v>531</v>
      </c>
    </row>
    <row r="411" spans="1:47" x14ac:dyDescent="0.25">
      <c r="B411" s="99">
        <v>948</v>
      </c>
      <c r="D411" s="1084" t="s">
        <v>532</v>
      </c>
    </row>
    <row r="412" spans="1:47" x14ac:dyDescent="0.25">
      <c r="B412" s="99">
        <v>949</v>
      </c>
      <c r="D412" s="1084" t="s">
        <v>560</v>
      </c>
    </row>
    <row r="413" spans="1:47" x14ac:dyDescent="0.25">
      <c r="B413" s="99">
        <v>950</v>
      </c>
      <c r="D413" s="1084" t="s">
        <v>561</v>
      </c>
    </row>
    <row r="414" spans="1:47" x14ac:dyDescent="0.25">
      <c r="B414" s="99">
        <v>952</v>
      </c>
      <c r="D414" s="1084" t="s">
        <v>562</v>
      </c>
    </row>
    <row r="415" spans="1:47" x14ac:dyDescent="0.25">
      <c r="B415" s="99">
        <v>954</v>
      </c>
      <c r="D415" s="1084" t="s">
        <v>563</v>
      </c>
    </row>
    <row r="416" spans="1:47" x14ac:dyDescent="0.25">
      <c r="B416" s="99">
        <v>956</v>
      </c>
      <c r="D416" s="1084" t="s">
        <v>564</v>
      </c>
    </row>
    <row r="417" spans="2:4" ht="210" x14ac:dyDescent="0.25">
      <c r="B417" s="99">
        <v>958</v>
      </c>
      <c r="D417" s="1078" t="s">
        <v>565</v>
      </c>
    </row>
    <row r="418" spans="2:4" x14ac:dyDescent="0.25">
      <c r="B418" s="99">
        <v>960</v>
      </c>
      <c r="D418" s="1084" t="s">
        <v>556</v>
      </c>
    </row>
    <row r="419" spans="2:4" x14ac:dyDescent="0.25">
      <c r="B419" s="99">
        <v>962</v>
      </c>
      <c r="D419" s="1084" t="s">
        <v>517</v>
      </c>
    </row>
    <row r="420" spans="2:4" x14ac:dyDescent="0.25">
      <c r="B420" s="99">
        <v>964</v>
      </c>
      <c r="D420" s="1084" t="s">
        <v>1553</v>
      </c>
    </row>
    <row r="421" spans="2:4" x14ac:dyDescent="0.25">
      <c r="B421" s="99">
        <v>966</v>
      </c>
      <c r="D421" s="1084" t="s">
        <v>519</v>
      </c>
    </row>
    <row r="422" spans="2:4" x14ac:dyDescent="0.25">
      <c r="B422" s="99">
        <v>968</v>
      </c>
      <c r="D422" s="1084" t="s">
        <v>520</v>
      </c>
    </row>
    <row r="792" spans="2:2" x14ac:dyDescent="0.25">
      <c r="B792" s="1105"/>
    </row>
  </sheetData>
  <sheetProtection algorithmName="SHA-512" hashValue="tpGHPSue+idUvlZVq+CXhyjcqCMgoe/Tqzx002CeeQ4J+GRup31ghs7itH0vU2vy02P8pZnQtsRlPRVjGf4Aaw==" saltValue="l+l/8u74iig9KOAngjWXEA=="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CB305"/>
  <sheetViews>
    <sheetView zoomScale="120" zoomScaleNormal="120" workbookViewId="0"/>
  </sheetViews>
  <sheetFormatPr defaultColWidth="9.140625" defaultRowHeight="15" x14ac:dyDescent="0.25"/>
  <cols>
    <col min="1" max="1" width="9.140625" style="302"/>
    <col min="2" max="2" width="11.7109375" style="302" customWidth="1"/>
    <col min="3" max="3" width="32.5703125" style="302" customWidth="1"/>
    <col min="4" max="4" width="24.7109375" style="302" customWidth="1"/>
    <col min="5" max="6" width="16.85546875" style="302" bestFit="1" customWidth="1"/>
    <col min="7" max="7" width="15.7109375" style="302" bestFit="1" customWidth="1"/>
    <col min="8" max="8" width="16.85546875" style="302" bestFit="1" customWidth="1"/>
    <col min="9" max="9" width="14.5703125" style="302" bestFit="1" customWidth="1"/>
    <col min="10" max="10" width="15.7109375" style="302" bestFit="1" customWidth="1"/>
    <col min="11" max="11" width="16.85546875" style="302" bestFit="1" customWidth="1"/>
    <col min="12" max="12" width="15.7109375" style="302" bestFit="1" customWidth="1"/>
    <col min="13" max="13" width="18.7109375" style="302" bestFit="1" customWidth="1"/>
    <col min="14" max="14" width="12.7109375" style="302" bestFit="1" customWidth="1"/>
    <col min="15" max="15" width="16.85546875" style="302" bestFit="1" customWidth="1"/>
    <col min="16" max="16" width="15.7109375" style="302" bestFit="1" customWidth="1"/>
    <col min="17" max="17" width="16.85546875" style="302" bestFit="1" customWidth="1"/>
    <col min="18" max="18" width="18.7109375" style="302" bestFit="1" customWidth="1"/>
    <col min="19" max="19" width="20.42578125" style="302" customWidth="1"/>
    <col min="20" max="20" width="15.7109375" style="302" bestFit="1" customWidth="1"/>
    <col min="21" max="21" width="16.85546875" style="302" bestFit="1" customWidth="1"/>
    <col min="22" max="22" width="15.5703125" style="302" customWidth="1"/>
    <col min="23" max="23" width="15.7109375" style="302" bestFit="1" customWidth="1"/>
    <col min="24" max="24" width="14.5703125" style="302" bestFit="1" customWidth="1"/>
    <col min="25" max="25" width="16.85546875" style="302" bestFit="1" customWidth="1"/>
    <col min="26" max="28" width="15.7109375" style="302" bestFit="1" customWidth="1"/>
    <col min="29" max="29" width="16.85546875" style="302" bestFit="1" customWidth="1"/>
    <col min="30" max="31" width="15.7109375" style="302" bestFit="1" customWidth="1"/>
    <col min="32" max="33" width="14.5703125" style="302" bestFit="1" customWidth="1"/>
    <col min="34" max="35" width="16.85546875" style="302" bestFit="1" customWidth="1"/>
    <col min="36" max="36" width="15.7109375" style="302" bestFit="1" customWidth="1"/>
    <col min="37" max="37" width="16.85546875" style="302" bestFit="1" customWidth="1"/>
    <col min="38" max="38" width="17.42578125" style="302" customWidth="1"/>
    <col min="39" max="39" width="14.5703125" style="302" bestFit="1" customWidth="1"/>
    <col min="40" max="40" width="16.85546875" style="302" bestFit="1" customWidth="1"/>
    <col min="41" max="41" width="15.7109375" style="302" bestFit="1" customWidth="1"/>
    <col min="42" max="42" width="16.85546875" style="302" bestFit="1" customWidth="1"/>
    <col min="43" max="43" width="14.5703125" style="302" bestFit="1" customWidth="1"/>
    <col min="44" max="44" width="17.7109375" style="302" customWidth="1"/>
    <col min="45" max="47" width="15.7109375" style="302" bestFit="1" customWidth="1"/>
    <col min="48" max="48" width="16.5703125" style="302" customWidth="1"/>
    <col min="49" max="49" width="16.85546875" style="302" bestFit="1" customWidth="1"/>
    <col min="50" max="50" width="15.7109375" style="302" bestFit="1" customWidth="1"/>
    <col min="51" max="51" width="16.85546875" style="302" bestFit="1" customWidth="1"/>
    <col min="52" max="53" width="14.5703125" style="302" bestFit="1" customWidth="1"/>
    <col min="54" max="55" width="15.7109375" style="302" bestFit="1" customWidth="1"/>
    <col min="56" max="56" width="14.5703125" style="302" bestFit="1" customWidth="1"/>
    <col min="57" max="57" width="15.7109375" style="302" bestFit="1" customWidth="1"/>
    <col min="58" max="58" width="16.85546875" style="302" bestFit="1" customWidth="1"/>
    <col min="59" max="60" width="15.7109375" style="302" bestFit="1" customWidth="1"/>
    <col min="61" max="61" width="16.85546875" style="302" bestFit="1" customWidth="1"/>
    <col min="62" max="63" width="15.7109375" style="302" bestFit="1" customWidth="1"/>
    <col min="64" max="64" width="14.5703125" style="302" bestFit="1" customWidth="1"/>
    <col min="65" max="67" width="15.7109375" style="302" bestFit="1" customWidth="1"/>
    <col min="68" max="68" width="16.85546875" style="302" bestFit="1" customWidth="1"/>
    <col min="69" max="69" width="18.7109375" style="302" bestFit="1" customWidth="1"/>
    <col min="70" max="71" width="16.85546875" style="302" bestFit="1" customWidth="1"/>
    <col min="72" max="80" width="16" style="302" customWidth="1"/>
    <col min="81" max="16384" width="9.140625" style="302"/>
  </cols>
  <sheetData>
    <row r="1" spans="1:80" x14ac:dyDescent="0.25">
      <c r="A1" s="302" t="s">
        <v>1401</v>
      </c>
      <c r="D1" s="302" t="s">
        <v>1402</v>
      </c>
      <c r="E1" s="412" t="s">
        <v>1403</v>
      </c>
      <c r="F1" s="412" t="s">
        <v>1404</v>
      </c>
      <c r="G1" s="412" t="s">
        <v>1405</v>
      </c>
      <c r="H1" s="412" t="s">
        <v>1406</v>
      </c>
      <c r="I1" s="412" t="s">
        <v>1407</v>
      </c>
      <c r="J1" s="412" t="s">
        <v>1408</v>
      </c>
      <c r="K1" s="412" t="s">
        <v>1409</v>
      </c>
      <c r="L1" s="412" t="s">
        <v>1410</v>
      </c>
      <c r="M1" s="412" t="s">
        <v>1411</v>
      </c>
      <c r="N1" s="412" t="s">
        <v>1412</v>
      </c>
      <c r="O1" s="412" t="s">
        <v>1413</v>
      </c>
      <c r="P1" s="412" t="s">
        <v>1414</v>
      </c>
      <c r="Q1" s="412" t="s">
        <v>1415</v>
      </c>
      <c r="R1" s="412" t="s">
        <v>1416</v>
      </c>
      <c r="S1" s="412" t="s">
        <v>1417</v>
      </c>
      <c r="T1" s="412" t="s">
        <v>1418</v>
      </c>
      <c r="U1" s="412" t="s">
        <v>1419</v>
      </c>
      <c r="V1" s="412" t="s">
        <v>1420</v>
      </c>
      <c r="W1" s="412" t="s">
        <v>1421</v>
      </c>
      <c r="X1" s="412" t="s">
        <v>1422</v>
      </c>
      <c r="Y1" s="412" t="s">
        <v>1423</v>
      </c>
      <c r="Z1" s="412" t="s">
        <v>1424</v>
      </c>
      <c r="AA1" s="412" t="s">
        <v>1425</v>
      </c>
      <c r="AB1" s="412" t="s">
        <v>1426</v>
      </c>
      <c r="AC1" s="412" t="s">
        <v>1427</v>
      </c>
      <c r="AD1" s="412" t="s">
        <v>1428</v>
      </c>
      <c r="AE1" s="412" t="s">
        <v>1429</v>
      </c>
      <c r="AF1" s="412" t="s">
        <v>1430</v>
      </c>
      <c r="AG1" s="412" t="s">
        <v>1431</v>
      </c>
      <c r="AH1" s="412" t="s">
        <v>1432</v>
      </c>
      <c r="AI1" s="412" t="s">
        <v>1433</v>
      </c>
      <c r="AJ1" s="412" t="s">
        <v>1434</v>
      </c>
      <c r="AK1" s="412" t="s">
        <v>1435</v>
      </c>
      <c r="AL1" s="412" t="s">
        <v>1436</v>
      </c>
      <c r="AM1" s="412" t="s">
        <v>1437</v>
      </c>
      <c r="AN1" s="412" t="s">
        <v>1438</v>
      </c>
      <c r="AO1" s="412" t="s">
        <v>1439</v>
      </c>
      <c r="AP1" s="412" t="s">
        <v>1440</v>
      </c>
      <c r="AQ1" s="412" t="s">
        <v>1441</v>
      </c>
      <c r="AR1" s="412" t="s">
        <v>1442</v>
      </c>
      <c r="AS1" s="412" t="s">
        <v>1443</v>
      </c>
      <c r="AT1" s="412" t="s">
        <v>1444</v>
      </c>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12"/>
      <c r="BW1" s="412"/>
      <c r="BX1" s="412"/>
      <c r="BY1" s="412"/>
      <c r="BZ1" s="412"/>
      <c r="CA1" s="412"/>
      <c r="CB1" s="412"/>
    </row>
    <row r="2" spans="1:80" x14ac:dyDescent="0.25">
      <c r="A2" s="412"/>
      <c r="B2" s="412"/>
      <c r="C2" s="412"/>
      <c r="D2" s="412">
        <v>602182</v>
      </c>
      <c r="E2" s="412">
        <v>601701</v>
      </c>
      <c r="F2" s="412">
        <v>601702</v>
      </c>
      <c r="G2" s="412">
        <v>601703</v>
      </c>
      <c r="H2" s="412">
        <v>604187</v>
      </c>
      <c r="I2" s="412">
        <v>601707</v>
      </c>
      <c r="J2" s="412">
        <v>601708</v>
      </c>
      <c r="K2" s="412">
        <v>601795</v>
      </c>
      <c r="L2" s="412">
        <v>602352</v>
      </c>
      <c r="M2" s="302">
        <v>60952</v>
      </c>
      <c r="N2" s="412">
        <v>601717</v>
      </c>
      <c r="O2" s="302">
        <v>601719</v>
      </c>
      <c r="P2" s="302">
        <v>601720</v>
      </c>
      <c r="Q2" s="302">
        <v>601504</v>
      </c>
      <c r="R2" s="302">
        <v>601723</v>
      </c>
      <c r="S2" s="302">
        <v>601781</v>
      </c>
      <c r="T2" s="302">
        <v>601782</v>
      </c>
      <c r="U2" s="302">
        <v>601724</v>
      </c>
      <c r="V2" s="302">
        <v>601725</v>
      </c>
      <c r="W2" s="302">
        <v>601726</v>
      </c>
      <c r="X2" s="302">
        <v>602154</v>
      </c>
      <c r="Y2" s="302">
        <v>604030</v>
      </c>
      <c r="Z2" s="302">
        <v>601738</v>
      </c>
      <c r="AA2" s="302">
        <v>601744</v>
      </c>
      <c r="AB2" s="302">
        <v>601745</v>
      </c>
      <c r="AC2" s="302">
        <v>601746</v>
      </c>
      <c r="AD2" s="302">
        <v>601748</v>
      </c>
      <c r="AE2" s="302">
        <v>601790</v>
      </c>
      <c r="AF2" s="302">
        <v>602369</v>
      </c>
      <c r="AG2" s="302">
        <v>601760</v>
      </c>
      <c r="AH2" s="302">
        <v>601761</v>
      </c>
      <c r="AI2" s="302">
        <v>601797</v>
      </c>
      <c r="AJ2" s="302">
        <v>602153</v>
      </c>
      <c r="AK2" s="302">
        <v>601764</v>
      </c>
      <c r="AL2" s="302">
        <v>602389</v>
      </c>
      <c r="AM2" s="302">
        <v>601765</v>
      </c>
      <c r="AN2" s="302">
        <v>602178</v>
      </c>
      <c r="AO2" s="302">
        <v>602390</v>
      </c>
      <c r="AP2" s="302">
        <v>602391</v>
      </c>
      <c r="AQ2" s="302">
        <v>602414</v>
      </c>
      <c r="AR2" s="302">
        <v>602395</v>
      </c>
      <c r="AS2" s="302">
        <v>602333</v>
      </c>
      <c r="AT2" s="302">
        <v>601774</v>
      </c>
    </row>
    <row r="3" spans="1:80" x14ac:dyDescent="0.25">
      <c r="B3" s="412"/>
      <c r="D3" s="302" t="s">
        <v>1402</v>
      </c>
      <c r="E3" s="413" t="s">
        <v>1403</v>
      </c>
      <c r="F3" s="413" t="s">
        <v>1404</v>
      </c>
      <c r="G3" s="413" t="s">
        <v>1405</v>
      </c>
      <c r="H3" s="413" t="s">
        <v>1406</v>
      </c>
      <c r="I3" s="413" t="s">
        <v>1407</v>
      </c>
      <c r="J3" s="413" t="s">
        <v>1408</v>
      </c>
      <c r="K3" s="413" t="s">
        <v>1409</v>
      </c>
      <c r="L3" s="413" t="s">
        <v>1410</v>
      </c>
      <c r="M3" s="413" t="s">
        <v>1411</v>
      </c>
      <c r="N3" s="413" t="s">
        <v>1412</v>
      </c>
      <c r="O3" s="413" t="s">
        <v>1413</v>
      </c>
      <c r="P3" s="413" t="s">
        <v>1414</v>
      </c>
      <c r="Q3" s="413" t="s">
        <v>1415</v>
      </c>
      <c r="R3" s="413" t="s">
        <v>1416</v>
      </c>
      <c r="S3" s="413" t="s">
        <v>1417</v>
      </c>
      <c r="T3" s="413" t="s">
        <v>1418</v>
      </c>
      <c r="U3" s="413" t="s">
        <v>1419</v>
      </c>
      <c r="V3" s="413" t="s">
        <v>1420</v>
      </c>
      <c r="W3" s="413" t="s">
        <v>1421</v>
      </c>
      <c r="X3" s="413" t="s">
        <v>1422</v>
      </c>
      <c r="Y3" s="413" t="s">
        <v>1423</v>
      </c>
      <c r="Z3" s="413" t="s">
        <v>1424</v>
      </c>
      <c r="AA3" s="413" t="s">
        <v>1425</v>
      </c>
      <c r="AB3" s="413" t="s">
        <v>1426</v>
      </c>
      <c r="AC3" s="413" t="s">
        <v>1427</v>
      </c>
      <c r="AD3" s="413" t="s">
        <v>1428</v>
      </c>
      <c r="AE3" s="413" t="s">
        <v>1429</v>
      </c>
      <c r="AF3" s="413" t="s">
        <v>1430</v>
      </c>
      <c r="AG3" s="413" t="s">
        <v>1431</v>
      </c>
      <c r="AH3" s="413" t="s">
        <v>1432</v>
      </c>
      <c r="AI3" s="413" t="s">
        <v>1433</v>
      </c>
      <c r="AJ3" s="413" t="s">
        <v>1434</v>
      </c>
      <c r="AK3" s="413" t="s">
        <v>1435</v>
      </c>
      <c r="AL3" s="413" t="s">
        <v>1436</v>
      </c>
      <c r="AM3" s="413" t="s">
        <v>1437</v>
      </c>
      <c r="AN3" s="413" t="s">
        <v>1438</v>
      </c>
      <c r="AO3" s="413" t="s">
        <v>1439</v>
      </c>
      <c r="AP3" s="413" t="s">
        <v>1440</v>
      </c>
      <c r="AQ3" s="413" t="s">
        <v>1441</v>
      </c>
      <c r="AR3" s="413" t="s">
        <v>1442</v>
      </c>
      <c r="AS3" s="413" t="s">
        <v>1443</v>
      </c>
      <c r="AT3" s="413" t="s">
        <v>1444</v>
      </c>
      <c r="AU3" s="413"/>
      <c r="AV3" s="413"/>
      <c r="AW3" s="413"/>
      <c r="AX3" s="413"/>
      <c r="AY3" s="413"/>
      <c r="AZ3" s="413"/>
      <c r="BA3" s="413"/>
      <c r="BB3" s="413"/>
      <c r="BC3" s="413"/>
      <c r="BD3" s="413"/>
      <c r="BE3" s="413"/>
      <c r="BF3" s="413"/>
      <c r="BG3" s="413"/>
      <c r="BH3" s="413"/>
      <c r="BI3" s="413"/>
      <c r="BJ3" s="413"/>
      <c r="BK3" s="413"/>
      <c r="BL3" s="413"/>
      <c r="BM3" s="413"/>
      <c r="BN3" s="413"/>
      <c r="BO3" s="413"/>
      <c r="BP3" s="413"/>
      <c r="BQ3" s="413"/>
      <c r="BR3" s="413"/>
      <c r="BS3" s="413"/>
      <c r="BT3" s="413"/>
      <c r="BU3" s="413"/>
      <c r="BV3" s="413"/>
      <c r="BW3" s="413"/>
      <c r="BX3" s="413"/>
      <c r="BY3" s="413"/>
      <c r="BZ3" s="413"/>
      <c r="CA3" s="413"/>
      <c r="CB3" s="413"/>
    </row>
    <row r="4" spans="1:80" x14ac:dyDescent="0.25">
      <c r="A4" s="302">
        <v>4</v>
      </c>
      <c r="B4" s="412">
        <v>4</v>
      </c>
      <c r="C4" s="302" t="s">
        <v>383</v>
      </c>
      <c r="D4" s="302">
        <v>0</v>
      </c>
      <c r="E4" s="413">
        <v>0</v>
      </c>
      <c r="F4" s="413">
        <v>1121897</v>
      </c>
      <c r="G4" s="413">
        <v>0</v>
      </c>
      <c r="H4" s="413">
        <v>0</v>
      </c>
      <c r="I4" s="413">
        <v>6835</v>
      </c>
      <c r="J4" s="413">
        <v>161156</v>
      </c>
      <c r="K4" s="413">
        <v>0</v>
      </c>
      <c r="L4" s="413">
        <v>0</v>
      </c>
      <c r="M4" s="413">
        <v>0</v>
      </c>
      <c r="N4" s="413">
        <v>0</v>
      </c>
      <c r="O4" s="413">
        <v>0</v>
      </c>
      <c r="P4" s="413">
        <v>0</v>
      </c>
      <c r="Q4" s="413">
        <v>0</v>
      </c>
      <c r="R4" s="413">
        <v>0</v>
      </c>
      <c r="S4" s="413">
        <v>0</v>
      </c>
      <c r="T4" s="413">
        <v>15777</v>
      </c>
      <c r="U4" s="413">
        <v>287845</v>
      </c>
      <c r="V4" s="413">
        <v>0</v>
      </c>
      <c r="W4" s="413">
        <v>225</v>
      </c>
      <c r="X4" s="413">
        <v>0</v>
      </c>
      <c r="Y4" s="413">
        <v>6027</v>
      </c>
      <c r="Z4" s="413">
        <v>3401</v>
      </c>
      <c r="AA4" s="413">
        <v>0</v>
      </c>
      <c r="AB4" s="413">
        <v>0</v>
      </c>
      <c r="AC4" s="413">
        <v>3539</v>
      </c>
      <c r="AD4" s="413">
        <v>15381</v>
      </c>
      <c r="AE4" s="413">
        <v>7111084</v>
      </c>
      <c r="AF4" s="413">
        <v>0</v>
      </c>
      <c r="AG4" s="413">
        <v>0</v>
      </c>
      <c r="AH4" s="413">
        <v>0</v>
      </c>
      <c r="AI4" s="413">
        <v>178337</v>
      </c>
      <c r="AJ4" s="413">
        <v>8459</v>
      </c>
      <c r="AK4" s="413">
        <v>1565693</v>
      </c>
      <c r="AL4" s="413">
        <v>1698</v>
      </c>
      <c r="AM4" s="413">
        <v>0</v>
      </c>
      <c r="AN4" s="413">
        <v>2300</v>
      </c>
      <c r="AO4" s="413">
        <v>420</v>
      </c>
      <c r="AP4" s="413">
        <v>583</v>
      </c>
      <c r="AQ4" s="413">
        <v>50982</v>
      </c>
      <c r="AR4" s="413">
        <v>0</v>
      </c>
      <c r="AS4" s="413">
        <v>0</v>
      </c>
      <c r="AT4" s="413">
        <v>0</v>
      </c>
      <c r="AU4" s="413"/>
      <c r="AV4" s="413"/>
      <c r="AW4" s="413"/>
      <c r="AX4" s="413"/>
      <c r="AY4" s="413"/>
      <c r="AZ4" s="413"/>
      <c r="BA4" s="413"/>
      <c r="BB4" s="413"/>
      <c r="BC4" s="413"/>
      <c r="BD4" s="413"/>
      <c r="BE4" s="413"/>
      <c r="BF4" s="413"/>
      <c r="BG4" s="413"/>
      <c r="BH4" s="413"/>
      <c r="BI4" s="413"/>
      <c r="BJ4" s="413"/>
      <c r="BK4" s="413"/>
      <c r="BL4" s="413"/>
      <c r="BM4" s="413"/>
      <c r="BN4" s="413"/>
      <c r="BO4" s="413"/>
      <c r="BP4" s="413"/>
      <c r="BQ4" s="413"/>
      <c r="BR4" s="413"/>
      <c r="BS4" s="413"/>
      <c r="BT4" s="413"/>
      <c r="BU4" s="413"/>
      <c r="BV4" s="413"/>
      <c r="BW4" s="413"/>
      <c r="BX4" s="413"/>
      <c r="BY4" s="413"/>
      <c r="BZ4" s="413"/>
      <c r="CA4" s="413"/>
      <c r="CB4" s="413"/>
    </row>
    <row r="5" spans="1:80" x14ac:dyDescent="0.25">
      <c r="A5" s="302">
        <v>5</v>
      </c>
      <c r="B5" s="412">
        <v>5</v>
      </c>
      <c r="C5" s="302" t="s">
        <v>120</v>
      </c>
      <c r="D5" s="302">
        <v>0</v>
      </c>
      <c r="E5" s="413">
        <v>0</v>
      </c>
      <c r="F5" s="413">
        <v>0</v>
      </c>
      <c r="G5" s="413">
        <v>0</v>
      </c>
      <c r="H5" s="413">
        <v>0</v>
      </c>
      <c r="I5" s="413">
        <v>0</v>
      </c>
      <c r="J5" s="413">
        <v>0</v>
      </c>
      <c r="K5" s="413">
        <v>0</v>
      </c>
      <c r="L5" s="413">
        <v>0</v>
      </c>
      <c r="M5" s="413">
        <v>0</v>
      </c>
      <c r="N5" s="413">
        <v>0</v>
      </c>
      <c r="O5" s="413">
        <v>0</v>
      </c>
      <c r="P5" s="413">
        <v>0</v>
      </c>
      <c r="Q5" s="413">
        <v>0</v>
      </c>
      <c r="R5" s="413">
        <v>0</v>
      </c>
      <c r="S5" s="413">
        <v>0</v>
      </c>
      <c r="T5" s="413">
        <v>0</v>
      </c>
      <c r="U5" s="413">
        <v>113337</v>
      </c>
      <c r="V5" s="413">
        <v>0</v>
      </c>
      <c r="W5" s="413">
        <v>0</v>
      </c>
      <c r="X5" s="413">
        <v>0</v>
      </c>
      <c r="Y5" s="413">
        <v>0</v>
      </c>
      <c r="Z5" s="413">
        <v>0</v>
      </c>
      <c r="AA5" s="413">
        <v>0</v>
      </c>
      <c r="AB5" s="413">
        <v>0</v>
      </c>
      <c r="AC5" s="413">
        <v>0</v>
      </c>
      <c r="AD5" s="413">
        <v>0</v>
      </c>
      <c r="AE5" s="413">
        <v>0</v>
      </c>
      <c r="AF5" s="413">
        <v>0</v>
      </c>
      <c r="AG5" s="413">
        <v>0</v>
      </c>
      <c r="AH5" s="413">
        <v>0</v>
      </c>
      <c r="AI5" s="413">
        <v>0</v>
      </c>
      <c r="AJ5" s="413">
        <v>0</v>
      </c>
      <c r="AK5" s="413">
        <v>0</v>
      </c>
      <c r="AL5" s="413">
        <v>0</v>
      </c>
      <c r="AM5" s="413">
        <v>0</v>
      </c>
      <c r="AN5" s="413">
        <v>600</v>
      </c>
      <c r="AO5" s="413">
        <v>0</v>
      </c>
      <c r="AP5" s="413">
        <v>0</v>
      </c>
      <c r="AQ5" s="413">
        <v>0</v>
      </c>
      <c r="AR5" s="413">
        <v>0</v>
      </c>
      <c r="AS5" s="413">
        <v>0</v>
      </c>
      <c r="AT5" s="413">
        <v>0</v>
      </c>
      <c r="AU5" s="413"/>
      <c r="AV5" s="413"/>
      <c r="AW5" s="413"/>
      <c r="AX5" s="413"/>
      <c r="AY5" s="413"/>
      <c r="AZ5" s="413"/>
      <c r="BA5" s="413"/>
      <c r="BB5" s="413"/>
      <c r="BC5" s="413"/>
      <c r="BD5" s="413"/>
      <c r="BE5" s="413"/>
      <c r="BF5" s="413"/>
      <c r="BG5" s="413"/>
      <c r="BH5" s="413"/>
      <c r="BI5" s="413"/>
      <c r="BJ5" s="413"/>
      <c r="BK5" s="413"/>
      <c r="BL5" s="413"/>
      <c r="BM5" s="413"/>
      <c r="BN5" s="413"/>
      <c r="BO5" s="413"/>
      <c r="BP5" s="413"/>
      <c r="BQ5" s="413"/>
      <c r="BR5" s="413"/>
      <c r="BS5" s="413"/>
      <c r="BT5" s="413"/>
      <c r="BU5" s="413"/>
      <c r="BV5" s="413"/>
      <c r="BW5" s="413"/>
      <c r="BX5" s="413"/>
      <c r="BY5" s="413"/>
      <c r="BZ5" s="413"/>
      <c r="CA5" s="413"/>
      <c r="CB5" s="413"/>
    </row>
    <row r="6" spans="1:80" x14ac:dyDescent="0.25">
      <c r="A6" s="302">
        <v>6</v>
      </c>
      <c r="B6" s="412">
        <v>6</v>
      </c>
      <c r="C6" s="302" t="s">
        <v>265</v>
      </c>
      <c r="D6" s="302">
        <v>0</v>
      </c>
      <c r="E6" s="413">
        <v>0</v>
      </c>
      <c r="F6" s="413">
        <v>0</v>
      </c>
      <c r="G6" s="413">
        <v>0</v>
      </c>
      <c r="H6" s="413">
        <v>0</v>
      </c>
      <c r="I6" s="413">
        <v>0</v>
      </c>
      <c r="J6" s="413">
        <v>0</v>
      </c>
      <c r="K6" s="413">
        <v>0</v>
      </c>
      <c r="L6" s="413">
        <v>0</v>
      </c>
      <c r="M6" s="413">
        <v>0</v>
      </c>
      <c r="N6" s="413">
        <v>0</v>
      </c>
      <c r="O6" s="413">
        <v>0</v>
      </c>
      <c r="P6" s="413">
        <v>0</v>
      </c>
      <c r="Q6" s="413">
        <v>0</v>
      </c>
      <c r="R6" s="413">
        <v>0</v>
      </c>
      <c r="S6" s="413">
        <v>0</v>
      </c>
      <c r="T6" s="413">
        <v>0</v>
      </c>
      <c r="U6" s="413">
        <v>16018</v>
      </c>
      <c r="V6" s="413">
        <v>0</v>
      </c>
      <c r="W6" s="413">
        <v>0</v>
      </c>
      <c r="X6" s="413">
        <v>0</v>
      </c>
      <c r="Y6" s="413">
        <v>0</v>
      </c>
      <c r="Z6" s="413">
        <v>0</v>
      </c>
      <c r="AA6" s="413">
        <v>0</v>
      </c>
      <c r="AB6" s="413">
        <v>0</v>
      </c>
      <c r="AC6" s="413">
        <v>0</v>
      </c>
      <c r="AD6" s="413">
        <v>0</v>
      </c>
      <c r="AE6" s="413">
        <v>3157536</v>
      </c>
      <c r="AF6" s="413">
        <v>0</v>
      </c>
      <c r="AG6" s="413">
        <v>0</v>
      </c>
      <c r="AH6" s="413">
        <v>0</v>
      </c>
      <c r="AI6" s="413">
        <v>0</v>
      </c>
      <c r="AJ6" s="413">
        <v>0</v>
      </c>
      <c r="AK6" s="413">
        <v>0</v>
      </c>
      <c r="AL6" s="413">
        <v>0</v>
      </c>
      <c r="AM6" s="413">
        <v>0</v>
      </c>
      <c r="AN6" s="413">
        <v>0</v>
      </c>
      <c r="AO6" s="413">
        <v>0</v>
      </c>
      <c r="AP6" s="413">
        <v>0</v>
      </c>
      <c r="AQ6" s="413">
        <v>0</v>
      </c>
      <c r="AR6" s="413">
        <v>0</v>
      </c>
      <c r="AS6" s="413">
        <v>0</v>
      </c>
      <c r="AT6" s="413">
        <v>0</v>
      </c>
      <c r="AU6" s="413"/>
      <c r="AV6" s="413"/>
      <c r="AW6" s="413"/>
      <c r="AX6" s="413"/>
      <c r="AY6" s="413"/>
      <c r="AZ6" s="413"/>
      <c r="BA6" s="413"/>
      <c r="BB6" s="413"/>
      <c r="BC6" s="413"/>
      <c r="BD6" s="413"/>
      <c r="BE6" s="413"/>
      <c r="BF6" s="413"/>
      <c r="BG6" s="413"/>
      <c r="BH6" s="413"/>
      <c r="BI6" s="413"/>
      <c r="BJ6" s="413"/>
      <c r="BK6" s="413"/>
      <c r="BL6" s="413"/>
      <c r="BM6" s="413"/>
      <c r="BN6" s="413"/>
      <c r="BO6" s="413"/>
      <c r="BP6" s="413"/>
      <c r="BQ6" s="413"/>
      <c r="BR6" s="413"/>
      <c r="BS6" s="413"/>
      <c r="BT6" s="413"/>
      <c r="BU6" s="413"/>
      <c r="BV6" s="413"/>
      <c r="BW6" s="413"/>
      <c r="BX6" s="413"/>
      <c r="BY6" s="413"/>
      <c r="BZ6" s="413"/>
      <c r="CA6" s="413"/>
      <c r="CB6" s="413"/>
    </row>
    <row r="7" spans="1:80" x14ac:dyDescent="0.25">
      <c r="A7" s="302">
        <v>7</v>
      </c>
      <c r="B7" s="412">
        <v>7</v>
      </c>
      <c r="C7" s="302" t="s">
        <v>202</v>
      </c>
      <c r="D7" s="302">
        <v>0</v>
      </c>
      <c r="E7" s="413">
        <v>0</v>
      </c>
      <c r="F7" s="413">
        <v>0</v>
      </c>
      <c r="G7" s="413">
        <v>0</v>
      </c>
      <c r="H7" s="413">
        <v>0</v>
      </c>
      <c r="I7" s="413">
        <v>0</v>
      </c>
      <c r="J7" s="413">
        <v>0</v>
      </c>
      <c r="K7" s="413">
        <v>0</v>
      </c>
      <c r="L7" s="413">
        <v>0</v>
      </c>
      <c r="M7" s="413">
        <v>0</v>
      </c>
      <c r="N7" s="413">
        <v>0</v>
      </c>
      <c r="O7" s="413">
        <v>0</v>
      </c>
      <c r="P7" s="413">
        <v>0</v>
      </c>
      <c r="Q7" s="413">
        <v>0</v>
      </c>
      <c r="R7" s="413">
        <v>0</v>
      </c>
      <c r="S7" s="413">
        <v>0</v>
      </c>
      <c r="T7" s="413">
        <v>2018</v>
      </c>
      <c r="U7" s="413">
        <v>0</v>
      </c>
      <c r="V7" s="413">
        <v>0</v>
      </c>
      <c r="W7" s="413">
        <v>0</v>
      </c>
      <c r="X7" s="413">
        <v>0</v>
      </c>
      <c r="Y7" s="413">
        <v>11558</v>
      </c>
      <c r="Z7" s="413">
        <v>0</v>
      </c>
      <c r="AA7" s="413">
        <v>0</v>
      </c>
      <c r="AB7" s="413">
        <v>2759</v>
      </c>
      <c r="AC7" s="413">
        <v>0</v>
      </c>
      <c r="AD7" s="413">
        <v>0</v>
      </c>
      <c r="AE7" s="413">
        <v>0</v>
      </c>
      <c r="AF7" s="413">
        <v>0</v>
      </c>
      <c r="AG7" s="413">
        <v>0</v>
      </c>
      <c r="AH7" s="413">
        <v>0</v>
      </c>
      <c r="AI7" s="413">
        <v>0</v>
      </c>
      <c r="AJ7" s="413">
        <v>0</v>
      </c>
      <c r="AK7" s="413">
        <v>47620</v>
      </c>
      <c r="AL7" s="413">
        <v>0</v>
      </c>
      <c r="AM7" s="413">
        <v>0</v>
      </c>
      <c r="AN7" s="413">
        <v>101461</v>
      </c>
      <c r="AO7" s="413">
        <v>0</v>
      </c>
      <c r="AP7" s="413">
        <v>0</v>
      </c>
      <c r="AQ7" s="413">
        <v>0</v>
      </c>
      <c r="AR7" s="413">
        <v>0</v>
      </c>
      <c r="AS7" s="413">
        <v>0</v>
      </c>
      <c r="AT7" s="413">
        <v>0</v>
      </c>
      <c r="AU7" s="413"/>
      <c r="AV7" s="413"/>
      <c r="AW7" s="413"/>
      <c r="AX7" s="413"/>
      <c r="AY7" s="413"/>
      <c r="AZ7" s="413"/>
      <c r="BA7" s="413"/>
      <c r="BB7" s="413"/>
      <c r="BC7" s="413"/>
      <c r="BD7" s="413"/>
      <c r="BE7" s="413"/>
      <c r="BF7" s="413"/>
      <c r="BG7" s="413"/>
      <c r="BH7" s="413"/>
      <c r="BI7" s="413"/>
      <c r="BJ7" s="413"/>
      <c r="BK7" s="413"/>
      <c r="BL7" s="413"/>
      <c r="BM7" s="413"/>
      <c r="BN7" s="413"/>
      <c r="BO7" s="413"/>
      <c r="BP7" s="413"/>
      <c r="BQ7" s="413"/>
      <c r="BR7" s="413"/>
      <c r="BS7" s="413"/>
      <c r="BT7" s="413"/>
      <c r="BU7" s="413"/>
      <c r="BV7" s="413"/>
      <c r="BW7" s="413"/>
      <c r="BX7" s="413"/>
      <c r="BY7" s="413"/>
      <c r="BZ7" s="413"/>
      <c r="CA7" s="413"/>
      <c r="CB7" s="413"/>
    </row>
    <row r="8" spans="1:80" x14ac:dyDescent="0.25">
      <c r="A8" s="302">
        <v>9</v>
      </c>
      <c r="B8" s="412">
        <v>9</v>
      </c>
      <c r="C8" s="302" t="s">
        <v>204</v>
      </c>
      <c r="D8" s="302">
        <v>0</v>
      </c>
      <c r="E8" s="413">
        <v>0</v>
      </c>
      <c r="F8" s="413">
        <v>849637</v>
      </c>
      <c r="G8" s="413">
        <v>0</v>
      </c>
      <c r="H8" s="413">
        <v>0</v>
      </c>
      <c r="I8" s="413">
        <v>217017</v>
      </c>
      <c r="J8" s="413">
        <v>945582</v>
      </c>
      <c r="K8" s="413">
        <v>0</v>
      </c>
      <c r="L8" s="413">
        <v>0</v>
      </c>
      <c r="M8" s="413">
        <v>0</v>
      </c>
      <c r="N8" s="413">
        <v>0</v>
      </c>
      <c r="O8" s="413">
        <v>0</v>
      </c>
      <c r="P8" s="413">
        <v>0</v>
      </c>
      <c r="Q8" s="413">
        <v>0</v>
      </c>
      <c r="R8" s="413">
        <v>312059</v>
      </c>
      <c r="S8" s="413">
        <v>43192</v>
      </c>
      <c r="T8" s="413">
        <v>115801</v>
      </c>
      <c r="U8" s="413">
        <v>5089014</v>
      </c>
      <c r="V8" s="413">
        <v>0</v>
      </c>
      <c r="W8" s="413">
        <v>90409</v>
      </c>
      <c r="X8" s="413">
        <v>0</v>
      </c>
      <c r="Y8" s="413">
        <v>209179</v>
      </c>
      <c r="Z8" s="413">
        <v>552629</v>
      </c>
      <c r="AA8" s="413">
        <v>0</v>
      </c>
      <c r="AB8" s="413">
        <v>49759</v>
      </c>
      <c r="AC8" s="413">
        <v>142551</v>
      </c>
      <c r="AD8" s="413">
        <v>96410</v>
      </c>
      <c r="AE8" s="413">
        <v>7249525</v>
      </c>
      <c r="AF8" s="413">
        <v>0</v>
      </c>
      <c r="AG8" s="413">
        <v>108423</v>
      </c>
      <c r="AH8" s="413">
        <v>0</v>
      </c>
      <c r="AI8" s="413">
        <v>8674231</v>
      </c>
      <c r="AJ8" s="413">
        <v>3546474</v>
      </c>
      <c r="AK8" s="413">
        <v>41795360</v>
      </c>
      <c r="AL8" s="413">
        <v>1118829</v>
      </c>
      <c r="AM8" s="413">
        <v>21057</v>
      </c>
      <c r="AN8" s="413">
        <v>260213</v>
      </c>
      <c r="AO8" s="413">
        <v>28721</v>
      </c>
      <c r="AP8" s="413">
        <v>67383</v>
      </c>
      <c r="AQ8" s="413">
        <v>1082665</v>
      </c>
      <c r="AR8" s="413">
        <v>0</v>
      </c>
      <c r="AS8" s="413">
        <v>0</v>
      </c>
      <c r="AT8" s="413">
        <v>182591</v>
      </c>
      <c r="AU8" s="413"/>
      <c r="AV8" s="413"/>
      <c r="AW8" s="413"/>
      <c r="AX8" s="413"/>
      <c r="AY8" s="413"/>
      <c r="AZ8" s="413"/>
      <c r="BA8" s="413"/>
      <c r="BB8" s="413"/>
      <c r="BC8" s="413"/>
      <c r="BD8" s="413"/>
      <c r="BE8" s="413"/>
      <c r="BF8" s="413"/>
      <c r="BG8" s="413"/>
      <c r="BH8" s="413"/>
      <c r="BI8" s="413"/>
      <c r="BJ8" s="413"/>
      <c r="BK8" s="413"/>
      <c r="BL8" s="413"/>
      <c r="BM8" s="413"/>
      <c r="BN8" s="413"/>
      <c r="BO8" s="413"/>
      <c r="BP8" s="413"/>
      <c r="BQ8" s="413"/>
      <c r="BR8" s="413"/>
      <c r="BS8" s="413"/>
      <c r="BT8" s="413"/>
      <c r="BU8" s="413"/>
      <c r="BV8" s="413"/>
      <c r="BW8" s="413"/>
      <c r="BX8" s="413"/>
      <c r="BY8" s="413"/>
      <c r="BZ8" s="413"/>
      <c r="CA8" s="413"/>
      <c r="CB8" s="413"/>
    </row>
    <row r="9" spans="1:80" x14ac:dyDescent="0.25">
      <c r="B9" s="412">
        <v>11</v>
      </c>
      <c r="C9" s="302" t="e">
        <v>#VALUE!</v>
      </c>
      <c r="D9" s="302">
        <v>0</v>
      </c>
      <c r="E9" s="413">
        <v>0</v>
      </c>
      <c r="F9" s="413">
        <v>0</v>
      </c>
      <c r="G9" s="413">
        <v>0</v>
      </c>
      <c r="H9" s="413">
        <v>0</v>
      </c>
      <c r="I9" s="413">
        <v>0</v>
      </c>
      <c r="J9" s="413">
        <v>0</v>
      </c>
      <c r="K9" s="413">
        <v>0</v>
      </c>
      <c r="L9" s="413">
        <v>0</v>
      </c>
      <c r="M9" s="413">
        <v>0</v>
      </c>
      <c r="N9" s="413">
        <v>0</v>
      </c>
      <c r="O9" s="413">
        <v>0</v>
      </c>
      <c r="P9" s="413">
        <v>0</v>
      </c>
      <c r="Q9" s="413">
        <v>0</v>
      </c>
      <c r="R9" s="413">
        <v>0</v>
      </c>
      <c r="S9" s="413">
        <v>0</v>
      </c>
      <c r="T9" s="413">
        <v>0</v>
      </c>
      <c r="U9" s="413">
        <v>0</v>
      </c>
      <c r="V9" s="413">
        <v>0</v>
      </c>
      <c r="W9" s="413">
        <v>0</v>
      </c>
      <c r="X9" s="413">
        <v>0</v>
      </c>
      <c r="Y9" s="413">
        <v>0</v>
      </c>
      <c r="Z9" s="413">
        <v>0</v>
      </c>
      <c r="AA9" s="413">
        <v>0</v>
      </c>
      <c r="AB9" s="413">
        <v>0</v>
      </c>
      <c r="AC9" s="413">
        <v>0</v>
      </c>
      <c r="AD9" s="413">
        <v>0</v>
      </c>
      <c r="AE9" s="413">
        <v>0</v>
      </c>
      <c r="AF9" s="413">
        <v>0</v>
      </c>
      <c r="AG9" s="413">
        <v>0</v>
      </c>
      <c r="AH9" s="413">
        <v>0</v>
      </c>
      <c r="AI9" s="413">
        <v>0</v>
      </c>
      <c r="AJ9" s="413">
        <v>0</v>
      </c>
      <c r="AK9" s="413">
        <v>0</v>
      </c>
      <c r="AL9" s="413">
        <v>0</v>
      </c>
      <c r="AM9" s="413">
        <v>0</v>
      </c>
      <c r="AN9" s="413">
        <v>0</v>
      </c>
      <c r="AO9" s="413">
        <v>0</v>
      </c>
      <c r="AP9" s="413">
        <v>0</v>
      </c>
      <c r="AQ9" s="413">
        <v>0</v>
      </c>
      <c r="AR9" s="413">
        <v>0</v>
      </c>
      <c r="AS9" s="413">
        <v>0</v>
      </c>
      <c r="AT9" s="413">
        <v>0</v>
      </c>
      <c r="AU9" s="413"/>
      <c r="AV9" s="413"/>
      <c r="AW9" s="413"/>
      <c r="AX9" s="413"/>
      <c r="AY9" s="413"/>
      <c r="AZ9" s="413"/>
      <c r="BA9" s="413"/>
      <c r="BB9" s="413"/>
      <c r="BC9" s="413"/>
      <c r="BD9" s="413"/>
      <c r="BE9" s="413"/>
      <c r="BF9" s="413"/>
      <c r="BG9" s="413"/>
      <c r="BH9" s="413"/>
      <c r="BI9" s="413"/>
      <c r="BJ9" s="413"/>
      <c r="BK9" s="413"/>
      <c r="BL9" s="413"/>
      <c r="BM9" s="413"/>
      <c r="BN9" s="413"/>
      <c r="BO9" s="413"/>
      <c r="BP9" s="413"/>
      <c r="BQ9" s="413"/>
      <c r="BR9" s="413"/>
      <c r="BS9" s="413"/>
      <c r="BT9" s="413"/>
      <c r="BU9" s="413"/>
      <c r="BV9" s="413"/>
      <c r="BW9" s="413"/>
      <c r="BX9" s="413"/>
      <c r="BY9" s="413"/>
      <c r="BZ9" s="413"/>
      <c r="CA9" s="413"/>
      <c r="CB9" s="413"/>
    </row>
    <row r="10" spans="1:80" x14ac:dyDescent="0.25">
      <c r="B10" s="412">
        <v>12</v>
      </c>
      <c r="C10" s="302" t="s">
        <v>384</v>
      </c>
      <c r="D10" s="302">
        <v>0</v>
      </c>
      <c r="E10" s="413">
        <v>0</v>
      </c>
      <c r="F10" s="413">
        <v>0</v>
      </c>
      <c r="G10" s="413">
        <v>0</v>
      </c>
      <c r="H10" s="413">
        <v>0</v>
      </c>
      <c r="I10" s="413">
        <v>0</v>
      </c>
      <c r="J10" s="413">
        <v>0</v>
      </c>
      <c r="K10" s="413">
        <v>0</v>
      </c>
      <c r="L10" s="413">
        <v>0</v>
      </c>
      <c r="M10" s="413">
        <v>0</v>
      </c>
      <c r="N10" s="413">
        <v>0</v>
      </c>
      <c r="O10" s="413">
        <v>0</v>
      </c>
      <c r="P10" s="413">
        <v>0</v>
      </c>
      <c r="Q10" s="413">
        <v>0</v>
      </c>
      <c r="R10" s="413">
        <v>0</v>
      </c>
      <c r="S10" s="413">
        <v>0</v>
      </c>
      <c r="T10" s="413">
        <v>0</v>
      </c>
      <c r="U10" s="413">
        <v>0</v>
      </c>
      <c r="V10" s="413">
        <v>0</v>
      </c>
      <c r="W10" s="413">
        <v>0</v>
      </c>
      <c r="X10" s="413">
        <v>0</v>
      </c>
      <c r="Y10" s="413">
        <v>0</v>
      </c>
      <c r="Z10" s="413">
        <v>0</v>
      </c>
      <c r="AA10" s="413">
        <v>0</v>
      </c>
      <c r="AB10" s="413">
        <v>0</v>
      </c>
      <c r="AC10" s="413">
        <v>0</v>
      </c>
      <c r="AD10" s="413">
        <v>0</v>
      </c>
      <c r="AE10" s="413">
        <v>0</v>
      </c>
      <c r="AF10" s="413">
        <v>0</v>
      </c>
      <c r="AG10" s="413">
        <v>0</v>
      </c>
      <c r="AH10" s="413">
        <v>0</v>
      </c>
      <c r="AI10" s="413">
        <v>0</v>
      </c>
      <c r="AJ10" s="413">
        <v>0</v>
      </c>
      <c r="AK10" s="413">
        <v>0</v>
      </c>
      <c r="AL10" s="413">
        <v>0</v>
      </c>
      <c r="AM10" s="413">
        <v>0</v>
      </c>
      <c r="AN10" s="413">
        <v>0</v>
      </c>
      <c r="AO10" s="413">
        <v>0</v>
      </c>
      <c r="AP10" s="413">
        <v>0</v>
      </c>
      <c r="AQ10" s="413">
        <v>0</v>
      </c>
      <c r="AR10" s="413">
        <v>0</v>
      </c>
      <c r="AS10" s="413">
        <v>0</v>
      </c>
      <c r="AT10" s="413">
        <v>0</v>
      </c>
      <c r="AU10" s="413"/>
      <c r="AV10" s="413"/>
      <c r="AW10" s="413"/>
      <c r="AX10" s="413"/>
      <c r="AY10" s="413"/>
      <c r="AZ10" s="413"/>
      <c r="BA10" s="413"/>
      <c r="BB10" s="413"/>
      <c r="BC10" s="413"/>
      <c r="BD10" s="413"/>
      <c r="BE10" s="413"/>
      <c r="BF10" s="413"/>
      <c r="BG10" s="413"/>
      <c r="BH10" s="413"/>
      <c r="BI10" s="413"/>
      <c r="BJ10" s="413"/>
      <c r="BK10" s="413"/>
      <c r="BL10" s="413"/>
      <c r="BM10" s="413"/>
      <c r="BN10" s="413"/>
      <c r="BO10" s="413"/>
      <c r="BP10" s="413"/>
      <c r="BQ10" s="413"/>
      <c r="BR10" s="413"/>
      <c r="BS10" s="413"/>
      <c r="BT10" s="413"/>
      <c r="BU10" s="413"/>
      <c r="BV10" s="413"/>
      <c r="BW10" s="413"/>
      <c r="BX10" s="413"/>
      <c r="BY10" s="413"/>
      <c r="BZ10" s="413"/>
      <c r="CA10" s="413"/>
      <c r="CB10" s="413"/>
    </row>
    <row r="11" spans="1:80" x14ac:dyDescent="0.25">
      <c r="A11" s="302">
        <v>13</v>
      </c>
      <c r="B11" s="412">
        <v>13</v>
      </c>
      <c r="C11" s="302" t="s">
        <v>1445</v>
      </c>
      <c r="D11" s="302">
        <v>432117</v>
      </c>
      <c r="E11" s="413">
        <v>3402331</v>
      </c>
      <c r="F11" s="413">
        <v>0</v>
      </c>
      <c r="G11" s="413">
        <v>3817296</v>
      </c>
      <c r="H11" s="413">
        <v>36594</v>
      </c>
      <c r="I11" s="413">
        <v>0</v>
      </c>
      <c r="J11" s="413">
        <v>0</v>
      </c>
      <c r="K11" s="413">
        <v>1101526</v>
      </c>
      <c r="L11" s="413">
        <v>3143262</v>
      </c>
      <c r="M11" s="413">
        <v>8721375</v>
      </c>
      <c r="N11" s="413">
        <v>1352263</v>
      </c>
      <c r="O11" s="413">
        <v>75725</v>
      </c>
      <c r="P11" s="413">
        <v>12790151</v>
      </c>
      <c r="Q11" s="413">
        <v>0</v>
      </c>
      <c r="R11" s="413">
        <v>0</v>
      </c>
      <c r="S11" s="413">
        <v>0</v>
      </c>
      <c r="T11" s="413">
        <v>0</v>
      </c>
      <c r="U11" s="413">
        <v>0</v>
      </c>
      <c r="V11" s="413">
        <v>4106554</v>
      </c>
      <c r="W11" s="413">
        <v>0</v>
      </c>
      <c r="X11" s="413">
        <v>1621076</v>
      </c>
      <c r="Y11" s="413">
        <v>0</v>
      </c>
      <c r="Z11" s="413">
        <v>0</v>
      </c>
      <c r="AA11" s="413">
        <v>2721542</v>
      </c>
      <c r="AB11" s="413">
        <v>0</v>
      </c>
      <c r="AC11" s="413">
        <v>0</v>
      </c>
      <c r="AD11" s="413">
        <v>0</v>
      </c>
      <c r="AE11" s="413">
        <v>0</v>
      </c>
      <c r="AF11" s="413">
        <v>1226957</v>
      </c>
      <c r="AG11" s="413">
        <v>0</v>
      </c>
      <c r="AH11" s="413">
        <v>824056</v>
      </c>
      <c r="AI11" s="413">
        <v>671428</v>
      </c>
      <c r="AJ11" s="413">
        <v>0</v>
      </c>
      <c r="AK11" s="413">
        <v>5311616</v>
      </c>
      <c r="AL11" s="413">
        <v>0</v>
      </c>
      <c r="AM11" s="413">
        <v>0</v>
      </c>
      <c r="AN11" s="413">
        <v>0</v>
      </c>
      <c r="AO11" s="413">
        <v>0</v>
      </c>
      <c r="AP11" s="413">
        <v>0</v>
      </c>
      <c r="AQ11" s="413">
        <v>0</v>
      </c>
      <c r="AR11" s="413">
        <v>4245640</v>
      </c>
      <c r="AS11" s="413">
        <v>127273</v>
      </c>
      <c r="AT11" s="413">
        <v>0</v>
      </c>
      <c r="AU11" s="413"/>
      <c r="AV11" s="413"/>
      <c r="AW11" s="413"/>
      <c r="AX11" s="413"/>
      <c r="AY11" s="413"/>
      <c r="AZ11" s="413"/>
      <c r="BA11" s="413"/>
      <c r="BB11" s="413"/>
      <c r="BC11" s="413"/>
      <c r="BD11" s="413"/>
      <c r="BE11" s="413"/>
      <c r="BF11" s="413"/>
      <c r="BG11" s="413"/>
      <c r="BH11" s="413"/>
      <c r="BI11" s="413"/>
      <c r="BJ11" s="413"/>
      <c r="BK11" s="413"/>
      <c r="BL11" s="413"/>
      <c r="BM11" s="413"/>
      <c r="BN11" s="413"/>
      <c r="BO11" s="413"/>
      <c r="BP11" s="413"/>
      <c r="BQ11" s="413"/>
      <c r="BR11" s="413"/>
      <c r="BS11" s="413"/>
      <c r="BT11" s="413"/>
      <c r="BU11" s="413"/>
      <c r="BV11" s="413"/>
      <c r="BW11" s="413"/>
      <c r="BX11" s="413"/>
      <c r="BY11" s="413"/>
      <c r="BZ11" s="413"/>
      <c r="CA11" s="413"/>
      <c r="CB11" s="413"/>
    </row>
    <row r="12" spans="1:80" x14ac:dyDescent="0.25">
      <c r="A12" s="302">
        <v>14</v>
      </c>
      <c r="B12" s="412">
        <v>14</v>
      </c>
      <c r="C12" s="302" t="s">
        <v>297</v>
      </c>
      <c r="D12" s="302">
        <v>59101</v>
      </c>
      <c r="E12" s="413">
        <v>77666</v>
      </c>
      <c r="F12" s="413">
        <v>0</v>
      </c>
      <c r="G12" s="413">
        <v>248283</v>
      </c>
      <c r="H12" s="413">
        <v>0</v>
      </c>
      <c r="I12" s="413">
        <v>0</v>
      </c>
      <c r="J12" s="413">
        <v>0</v>
      </c>
      <c r="K12" s="413">
        <v>263802</v>
      </c>
      <c r="L12" s="413">
        <v>2845703</v>
      </c>
      <c r="M12" s="413">
        <v>6622358</v>
      </c>
      <c r="N12" s="413">
        <v>13826</v>
      </c>
      <c r="O12" s="413">
        <v>17198</v>
      </c>
      <c r="P12" s="413">
        <v>2027286</v>
      </c>
      <c r="Q12" s="413">
        <v>0</v>
      </c>
      <c r="R12" s="413">
        <v>0</v>
      </c>
      <c r="S12" s="413">
        <v>0</v>
      </c>
      <c r="T12" s="413">
        <v>0</v>
      </c>
      <c r="U12" s="413">
        <v>0</v>
      </c>
      <c r="V12" s="413">
        <v>2096750</v>
      </c>
      <c r="W12" s="413">
        <v>0</v>
      </c>
      <c r="X12" s="413">
        <v>232495</v>
      </c>
      <c r="Y12" s="413">
        <v>0</v>
      </c>
      <c r="Z12" s="413">
        <v>0</v>
      </c>
      <c r="AA12" s="413">
        <v>1673395</v>
      </c>
      <c r="AB12" s="413">
        <v>0</v>
      </c>
      <c r="AC12" s="413">
        <v>0</v>
      </c>
      <c r="AD12" s="413">
        <v>0</v>
      </c>
      <c r="AE12" s="413">
        <v>0</v>
      </c>
      <c r="AF12" s="413">
        <v>6878683</v>
      </c>
      <c r="AG12" s="413">
        <v>0</v>
      </c>
      <c r="AH12" s="413">
        <v>126384</v>
      </c>
      <c r="AI12" s="413">
        <v>35092</v>
      </c>
      <c r="AJ12" s="413">
        <v>0</v>
      </c>
      <c r="AK12" s="413">
        <v>22678567</v>
      </c>
      <c r="AL12" s="413">
        <v>0</v>
      </c>
      <c r="AM12" s="413">
        <v>0</v>
      </c>
      <c r="AN12" s="413">
        <v>0</v>
      </c>
      <c r="AO12" s="413">
        <v>0</v>
      </c>
      <c r="AP12" s="413">
        <v>0</v>
      </c>
      <c r="AQ12" s="413">
        <v>0</v>
      </c>
      <c r="AR12" s="413">
        <v>267365</v>
      </c>
      <c r="AS12" s="413">
        <v>52577</v>
      </c>
      <c r="AT12" s="413">
        <v>0</v>
      </c>
      <c r="AU12" s="413"/>
      <c r="AV12" s="413"/>
      <c r="AW12" s="413"/>
      <c r="AX12" s="413"/>
      <c r="AY12" s="413"/>
      <c r="AZ12" s="413"/>
      <c r="BA12" s="413"/>
      <c r="BB12" s="413"/>
      <c r="BC12" s="413"/>
      <c r="BD12" s="413"/>
      <c r="BE12" s="413"/>
      <c r="BF12" s="413"/>
      <c r="BG12" s="413"/>
      <c r="BH12" s="413"/>
      <c r="BI12" s="413"/>
      <c r="BJ12" s="413"/>
      <c r="BK12" s="413"/>
      <c r="BL12" s="413"/>
      <c r="BM12" s="413"/>
      <c r="BN12" s="413"/>
      <c r="BO12" s="413"/>
      <c r="BP12" s="413"/>
      <c r="BQ12" s="413"/>
      <c r="BR12" s="413"/>
      <c r="BS12" s="413"/>
      <c r="BT12" s="413"/>
      <c r="BU12" s="413"/>
      <c r="BV12" s="413"/>
      <c r="BW12" s="413"/>
      <c r="BX12" s="413"/>
      <c r="BY12" s="413"/>
      <c r="BZ12" s="413"/>
      <c r="CA12" s="413"/>
      <c r="CB12" s="413"/>
    </row>
    <row r="13" spans="1:80" x14ac:dyDescent="0.25">
      <c r="A13" s="302">
        <v>16</v>
      </c>
      <c r="B13" s="412">
        <v>16</v>
      </c>
      <c r="C13" s="302" t="s">
        <v>206</v>
      </c>
      <c r="D13" s="302">
        <v>0</v>
      </c>
      <c r="E13" s="413">
        <v>0</v>
      </c>
      <c r="F13" s="413">
        <v>7783095</v>
      </c>
      <c r="G13" s="413">
        <v>0</v>
      </c>
      <c r="H13" s="413">
        <v>0</v>
      </c>
      <c r="I13" s="413">
        <v>352824</v>
      </c>
      <c r="J13" s="413">
        <v>2617611</v>
      </c>
      <c r="K13" s="413">
        <v>0</v>
      </c>
      <c r="L13" s="413">
        <v>0</v>
      </c>
      <c r="M13" s="413">
        <v>0</v>
      </c>
      <c r="N13" s="413">
        <v>0</v>
      </c>
      <c r="O13" s="413">
        <v>0</v>
      </c>
      <c r="P13" s="413">
        <v>0</v>
      </c>
      <c r="Q13" s="413">
        <v>0</v>
      </c>
      <c r="R13" s="413">
        <v>29187</v>
      </c>
      <c r="S13" s="413">
        <v>31</v>
      </c>
      <c r="T13" s="413">
        <v>97131</v>
      </c>
      <c r="U13" s="413">
        <v>2838488</v>
      </c>
      <c r="V13" s="413">
        <v>0</v>
      </c>
      <c r="W13" s="413">
        <v>210443</v>
      </c>
      <c r="X13" s="413">
        <v>0</v>
      </c>
      <c r="Y13" s="413">
        <v>21192</v>
      </c>
      <c r="Z13" s="413">
        <v>337880</v>
      </c>
      <c r="AA13" s="413">
        <v>0</v>
      </c>
      <c r="AB13" s="413">
        <v>126250</v>
      </c>
      <c r="AC13" s="413">
        <v>75711</v>
      </c>
      <c r="AD13" s="413">
        <v>702850</v>
      </c>
      <c r="AE13" s="413">
        <v>60914076</v>
      </c>
      <c r="AF13" s="413">
        <v>0</v>
      </c>
      <c r="AG13" s="413">
        <v>16987</v>
      </c>
      <c r="AH13" s="413">
        <v>0</v>
      </c>
      <c r="AI13" s="413">
        <v>9418728</v>
      </c>
      <c r="AJ13" s="413">
        <v>1449423</v>
      </c>
      <c r="AK13" s="413">
        <v>9529076</v>
      </c>
      <c r="AL13" s="413">
        <v>211859</v>
      </c>
      <c r="AM13" s="413">
        <v>39882</v>
      </c>
      <c r="AN13" s="413">
        <v>59642</v>
      </c>
      <c r="AO13" s="413">
        <v>9042</v>
      </c>
      <c r="AP13" s="413">
        <v>49658</v>
      </c>
      <c r="AQ13" s="413">
        <v>2272915</v>
      </c>
      <c r="AR13" s="413">
        <v>0</v>
      </c>
      <c r="AS13" s="413">
        <v>0</v>
      </c>
      <c r="AT13" s="413">
        <v>81192</v>
      </c>
      <c r="AU13" s="413"/>
      <c r="AV13" s="413"/>
      <c r="AW13" s="413"/>
      <c r="AX13" s="413"/>
      <c r="AY13" s="413"/>
      <c r="AZ13" s="413"/>
      <c r="BA13" s="413"/>
      <c r="BB13" s="413"/>
      <c r="BC13" s="413"/>
      <c r="BD13" s="413"/>
      <c r="BE13" s="413"/>
      <c r="BF13" s="413"/>
      <c r="BG13" s="413"/>
      <c r="BH13" s="413"/>
      <c r="BI13" s="413"/>
      <c r="BJ13" s="413"/>
      <c r="BK13" s="413"/>
      <c r="BL13" s="413"/>
      <c r="BM13" s="413"/>
      <c r="BN13" s="413"/>
      <c r="BO13" s="413"/>
      <c r="BP13" s="413"/>
      <c r="BQ13" s="413"/>
      <c r="BR13" s="413"/>
      <c r="BS13" s="413"/>
      <c r="BT13" s="413"/>
      <c r="BU13" s="413"/>
      <c r="BV13" s="413"/>
      <c r="BW13" s="413"/>
      <c r="BX13" s="413"/>
      <c r="BY13" s="413"/>
      <c r="BZ13" s="413"/>
      <c r="CA13" s="413"/>
      <c r="CB13" s="413"/>
    </row>
    <row r="14" spans="1:80" x14ac:dyDescent="0.25">
      <c r="A14" s="302">
        <v>17</v>
      </c>
      <c r="B14" s="412">
        <v>17</v>
      </c>
      <c r="C14" s="302" t="s">
        <v>209</v>
      </c>
      <c r="D14" s="302">
        <v>0</v>
      </c>
      <c r="E14" s="413">
        <v>0</v>
      </c>
      <c r="F14" s="413">
        <v>0</v>
      </c>
      <c r="G14" s="413">
        <v>0</v>
      </c>
      <c r="H14" s="413">
        <v>0</v>
      </c>
      <c r="I14" s="413">
        <v>0</v>
      </c>
      <c r="J14" s="413">
        <v>0</v>
      </c>
      <c r="K14" s="413">
        <v>0</v>
      </c>
      <c r="L14" s="413">
        <v>0</v>
      </c>
      <c r="M14" s="413">
        <v>0</v>
      </c>
      <c r="N14" s="413">
        <v>0</v>
      </c>
      <c r="O14" s="413">
        <v>0</v>
      </c>
      <c r="P14" s="413">
        <v>0</v>
      </c>
      <c r="Q14" s="413">
        <v>0</v>
      </c>
      <c r="R14" s="413">
        <v>0</v>
      </c>
      <c r="S14" s="413">
        <v>0</v>
      </c>
      <c r="T14" s="413">
        <v>0</v>
      </c>
      <c r="U14" s="413">
        <v>0</v>
      </c>
      <c r="V14" s="413">
        <v>0</v>
      </c>
      <c r="W14" s="413">
        <v>0</v>
      </c>
      <c r="X14" s="413">
        <v>0</v>
      </c>
      <c r="Y14" s="413">
        <v>0</v>
      </c>
      <c r="Z14" s="413">
        <v>0</v>
      </c>
      <c r="AA14" s="413">
        <v>0</v>
      </c>
      <c r="AB14" s="413">
        <v>0</v>
      </c>
      <c r="AC14" s="413">
        <v>0</v>
      </c>
      <c r="AD14" s="413">
        <v>0</v>
      </c>
      <c r="AE14" s="413">
        <v>0</v>
      </c>
      <c r="AF14" s="413">
        <v>0</v>
      </c>
      <c r="AG14" s="413">
        <v>0</v>
      </c>
      <c r="AH14" s="413">
        <v>0</v>
      </c>
      <c r="AI14" s="413">
        <v>0</v>
      </c>
      <c r="AJ14" s="413">
        <v>0</v>
      </c>
      <c r="AK14" s="413">
        <v>101414078</v>
      </c>
      <c r="AL14" s="413">
        <v>0</v>
      </c>
      <c r="AM14" s="413">
        <v>0</v>
      </c>
      <c r="AN14" s="413">
        <v>0</v>
      </c>
      <c r="AO14" s="413">
        <v>0</v>
      </c>
      <c r="AP14" s="413">
        <v>0</v>
      </c>
      <c r="AQ14" s="413">
        <v>0</v>
      </c>
      <c r="AR14" s="413">
        <v>0</v>
      </c>
      <c r="AS14" s="413">
        <v>0</v>
      </c>
      <c r="AT14" s="413">
        <v>0</v>
      </c>
      <c r="AU14" s="413"/>
      <c r="AV14" s="413"/>
      <c r="AW14" s="413"/>
      <c r="AX14" s="413"/>
      <c r="AY14" s="413"/>
      <c r="AZ14" s="413"/>
      <c r="BA14" s="413"/>
      <c r="BB14" s="413"/>
      <c r="BC14" s="413"/>
      <c r="BD14" s="413"/>
      <c r="BE14" s="413"/>
      <c r="BF14" s="413"/>
      <c r="BG14" s="413"/>
      <c r="BH14" s="413"/>
      <c r="BI14" s="413"/>
      <c r="BJ14" s="413"/>
      <c r="BK14" s="413"/>
      <c r="BL14" s="413"/>
      <c r="BM14" s="413"/>
      <c r="BN14" s="413"/>
      <c r="BO14" s="413"/>
      <c r="BP14" s="413"/>
      <c r="BQ14" s="413"/>
      <c r="BR14" s="413"/>
      <c r="BS14" s="413"/>
      <c r="BT14" s="413"/>
      <c r="BU14" s="413"/>
      <c r="BV14" s="413"/>
      <c r="BW14" s="413"/>
      <c r="BX14" s="413"/>
      <c r="BY14" s="413"/>
      <c r="BZ14" s="413"/>
      <c r="CA14" s="413"/>
      <c r="CB14" s="413"/>
    </row>
    <row r="15" spans="1:80" x14ac:dyDescent="0.25">
      <c r="B15" s="412">
        <v>19</v>
      </c>
      <c r="C15" s="302" t="s">
        <v>1446</v>
      </c>
      <c r="D15" s="302">
        <v>0</v>
      </c>
      <c r="E15" s="413">
        <v>0</v>
      </c>
      <c r="F15" s="413">
        <v>0</v>
      </c>
      <c r="G15" s="413">
        <v>0</v>
      </c>
      <c r="H15" s="413">
        <v>0</v>
      </c>
      <c r="I15" s="413">
        <v>0</v>
      </c>
      <c r="J15" s="413">
        <v>0</v>
      </c>
      <c r="K15" s="413">
        <v>0</v>
      </c>
      <c r="L15" s="413">
        <v>0</v>
      </c>
      <c r="M15" s="413">
        <v>0</v>
      </c>
      <c r="N15" s="413">
        <v>0</v>
      </c>
      <c r="O15" s="413">
        <v>0</v>
      </c>
      <c r="P15" s="413">
        <v>0</v>
      </c>
      <c r="Q15" s="413">
        <v>0</v>
      </c>
      <c r="R15" s="413">
        <v>0</v>
      </c>
      <c r="S15" s="413">
        <v>0</v>
      </c>
      <c r="T15" s="413">
        <v>0</v>
      </c>
      <c r="U15" s="413">
        <v>0</v>
      </c>
      <c r="V15" s="413">
        <v>0</v>
      </c>
      <c r="W15" s="413">
        <v>0</v>
      </c>
      <c r="X15" s="413">
        <v>0</v>
      </c>
      <c r="Y15" s="413">
        <v>0</v>
      </c>
      <c r="Z15" s="413">
        <v>0</v>
      </c>
      <c r="AA15" s="413">
        <v>0</v>
      </c>
      <c r="AB15" s="413">
        <v>0</v>
      </c>
      <c r="AC15" s="413">
        <v>0</v>
      </c>
      <c r="AD15" s="413">
        <v>0</v>
      </c>
      <c r="AE15" s="413">
        <v>0</v>
      </c>
      <c r="AF15" s="413">
        <v>0</v>
      </c>
      <c r="AG15" s="413">
        <v>0</v>
      </c>
      <c r="AH15" s="413">
        <v>0</v>
      </c>
      <c r="AI15" s="413">
        <v>0</v>
      </c>
      <c r="AJ15" s="413">
        <v>0</v>
      </c>
      <c r="AK15" s="413">
        <v>0</v>
      </c>
      <c r="AL15" s="413">
        <v>0</v>
      </c>
      <c r="AM15" s="413">
        <v>0</v>
      </c>
      <c r="AN15" s="413">
        <v>0</v>
      </c>
      <c r="AO15" s="413">
        <v>0</v>
      </c>
      <c r="AP15" s="413">
        <v>0</v>
      </c>
      <c r="AQ15" s="413">
        <v>0</v>
      </c>
      <c r="AR15" s="413">
        <v>0</v>
      </c>
      <c r="AS15" s="413">
        <v>0</v>
      </c>
      <c r="AT15" s="413">
        <v>0</v>
      </c>
      <c r="AU15" s="413"/>
      <c r="AV15" s="413"/>
      <c r="AW15" s="413"/>
      <c r="AX15" s="413"/>
      <c r="AY15" s="413"/>
      <c r="AZ15" s="413"/>
      <c r="BA15" s="413"/>
      <c r="BB15" s="413"/>
      <c r="BC15" s="413"/>
      <c r="BD15" s="413"/>
      <c r="BE15" s="413"/>
      <c r="BF15" s="413"/>
      <c r="BG15" s="413"/>
      <c r="BH15" s="413"/>
      <c r="BI15" s="413"/>
      <c r="BJ15" s="413"/>
      <c r="BK15" s="413"/>
      <c r="BL15" s="413"/>
      <c r="BM15" s="413"/>
      <c r="BN15" s="413"/>
      <c r="BO15" s="413"/>
      <c r="BP15" s="413"/>
      <c r="BQ15" s="413"/>
      <c r="BR15" s="413"/>
      <c r="BS15" s="413"/>
      <c r="BT15" s="413"/>
      <c r="BU15" s="413"/>
      <c r="BV15" s="413"/>
      <c r="BW15" s="413"/>
      <c r="BX15" s="413"/>
      <c r="BY15" s="413"/>
      <c r="BZ15" s="413"/>
      <c r="CA15" s="413"/>
      <c r="CB15" s="413"/>
    </row>
    <row r="16" spans="1:80" x14ac:dyDescent="0.25">
      <c r="A16" s="302">
        <v>20</v>
      </c>
      <c r="B16" s="412">
        <v>20</v>
      </c>
      <c r="C16" s="302" t="s">
        <v>210</v>
      </c>
      <c r="D16" s="302">
        <v>0</v>
      </c>
      <c r="E16" s="413">
        <v>0</v>
      </c>
      <c r="F16" s="413">
        <v>0</v>
      </c>
      <c r="G16" s="413">
        <v>0</v>
      </c>
      <c r="H16" s="413">
        <v>0</v>
      </c>
      <c r="I16" s="413">
        <v>0</v>
      </c>
      <c r="J16" s="413">
        <v>0</v>
      </c>
      <c r="K16" s="413">
        <v>0</v>
      </c>
      <c r="L16" s="413">
        <v>0</v>
      </c>
      <c r="M16" s="413">
        <v>0</v>
      </c>
      <c r="N16" s="413">
        <v>0</v>
      </c>
      <c r="O16" s="413">
        <v>0</v>
      </c>
      <c r="P16" s="413">
        <v>0</v>
      </c>
      <c r="Q16" s="413">
        <v>0</v>
      </c>
      <c r="R16" s="413">
        <v>0</v>
      </c>
      <c r="S16" s="413">
        <v>0</v>
      </c>
      <c r="T16" s="413">
        <v>0</v>
      </c>
      <c r="U16" s="413">
        <v>0</v>
      </c>
      <c r="V16" s="413">
        <v>0</v>
      </c>
      <c r="W16" s="413">
        <v>0</v>
      </c>
      <c r="X16" s="413">
        <v>0</v>
      </c>
      <c r="Y16" s="413">
        <v>0</v>
      </c>
      <c r="Z16" s="413">
        <v>0</v>
      </c>
      <c r="AA16" s="413">
        <v>0</v>
      </c>
      <c r="AB16" s="413">
        <v>0</v>
      </c>
      <c r="AC16" s="413">
        <v>0</v>
      </c>
      <c r="AD16" s="413">
        <v>0</v>
      </c>
      <c r="AE16" s="413">
        <v>0</v>
      </c>
      <c r="AF16" s="413">
        <v>0</v>
      </c>
      <c r="AG16" s="413">
        <v>0</v>
      </c>
      <c r="AH16" s="413">
        <v>0</v>
      </c>
      <c r="AI16" s="413">
        <v>88150</v>
      </c>
      <c r="AJ16" s="413">
        <v>0</v>
      </c>
      <c r="AK16" s="413">
        <v>63312993</v>
      </c>
      <c r="AL16" s="413">
        <v>0</v>
      </c>
      <c r="AM16" s="413">
        <v>0</v>
      </c>
      <c r="AN16" s="413">
        <v>0</v>
      </c>
      <c r="AO16" s="413">
        <v>0</v>
      </c>
      <c r="AP16" s="413">
        <v>0</v>
      </c>
      <c r="AQ16" s="413">
        <v>0</v>
      </c>
      <c r="AR16" s="413">
        <v>0</v>
      </c>
      <c r="AS16" s="413">
        <v>0</v>
      </c>
      <c r="AT16" s="413">
        <v>0</v>
      </c>
      <c r="AU16" s="413"/>
      <c r="AV16" s="413"/>
      <c r="AW16" s="413"/>
      <c r="AX16" s="413"/>
      <c r="AY16" s="413"/>
      <c r="AZ16" s="413"/>
      <c r="BA16" s="413"/>
      <c r="BB16" s="413"/>
      <c r="BC16" s="413"/>
      <c r="BD16" s="413"/>
      <c r="BE16" s="413"/>
      <c r="BF16" s="413"/>
      <c r="BG16" s="413"/>
      <c r="BH16" s="413"/>
      <c r="BI16" s="413"/>
      <c r="BJ16" s="413"/>
      <c r="BK16" s="413"/>
      <c r="BL16" s="413"/>
      <c r="BM16" s="413"/>
      <c r="BN16" s="413"/>
      <c r="BO16" s="413"/>
      <c r="BP16" s="413"/>
      <c r="BQ16" s="413"/>
      <c r="BR16" s="413"/>
      <c r="BS16" s="413"/>
      <c r="BT16" s="413"/>
      <c r="BU16" s="413"/>
      <c r="BV16" s="413"/>
      <c r="BW16" s="413"/>
      <c r="BX16" s="413"/>
      <c r="BY16" s="413"/>
      <c r="BZ16" s="413"/>
      <c r="CA16" s="413"/>
      <c r="CB16" s="413"/>
    </row>
    <row r="17" spans="1:80" x14ac:dyDescent="0.25">
      <c r="B17" s="412">
        <v>21</v>
      </c>
      <c r="C17" s="302" t="s">
        <v>385</v>
      </c>
      <c r="D17" s="302">
        <v>0</v>
      </c>
      <c r="E17" s="413">
        <v>0</v>
      </c>
      <c r="F17" s="413">
        <v>0</v>
      </c>
      <c r="G17" s="413">
        <v>0</v>
      </c>
      <c r="H17" s="413">
        <v>0</v>
      </c>
      <c r="I17" s="413">
        <v>0</v>
      </c>
      <c r="J17" s="413">
        <v>0</v>
      </c>
      <c r="K17" s="413">
        <v>0</v>
      </c>
      <c r="L17" s="413">
        <v>0</v>
      </c>
      <c r="M17" s="413">
        <v>0</v>
      </c>
      <c r="N17" s="413">
        <v>0</v>
      </c>
      <c r="O17" s="413">
        <v>0</v>
      </c>
      <c r="P17" s="413">
        <v>0</v>
      </c>
      <c r="Q17" s="413">
        <v>0</v>
      </c>
      <c r="R17" s="413">
        <v>0</v>
      </c>
      <c r="S17" s="413">
        <v>0</v>
      </c>
      <c r="T17" s="413">
        <v>0</v>
      </c>
      <c r="U17" s="413">
        <v>0</v>
      </c>
      <c r="V17" s="413">
        <v>0</v>
      </c>
      <c r="W17" s="413">
        <v>0</v>
      </c>
      <c r="X17" s="413">
        <v>0</v>
      </c>
      <c r="Y17" s="413">
        <v>0</v>
      </c>
      <c r="Z17" s="413">
        <v>0</v>
      </c>
      <c r="AA17" s="413">
        <v>0</v>
      </c>
      <c r="AB17" s="413">
        <v>0</v>
      </c>
      <c r="AC17" s="413">
        <v>0</v>
      </c>
      <c r="AD17" s="413">
        <v>0</v>
      </c>
      <c r="AE17" s="413">
        <v>0</v>
      </c>
      <c r="AF17" s="413">
        <v>0</v>
      </c>
      <c r="AG17" s="413">
        <v>0</v>
      </c>
      <c r="AH17" s="413">
        <v>0</v>
      </c>
      <c r="AI17" s="413">
        <v>0</v>
      </c>
      <c r="AJ17" s="413">
        <v>0</v>
      </c>
      <c r="AK17" s="413">
        <v>0</v>
      </c>
      <c r="AL17" s="413">
        <v>0</v>
      </c>
      <c r="AM17" s="413">
        <v>0</v>
      </c>
      <c r="AN17" s="413">
        <v>0</v>
      </c>
      <c r="AO17" s="413">
        <v>0</v>
      </c>
      <c r="AP17" s="413">
        <v>0</v>
      </c>
      <c r="AQ17" s="413">
        <v>0</v>
      </c>
      <c r="AR17" s="413">
        <v>0</v>
      </c>
      <c r="AS17" s="413">
        <v>0</v>
      </c>
      <c r="AT17" s="413">
        <v>0</v>
      </c>
      <c r="AU17" s="413"/>
      <c r="AV17" s="413"/>
      <c r="AW17" s="413"/>
      <c r="AX17" s="413"/>
      <c r="AY17" s="413"/>
      <c r="AZ17" s="413"/>
      <c r="BA17" s="413"/>
      <c r="BB17" s="413"/>
      <c r="BC17" s="413"/>
      <c r="BD17" s="413"/>
      <c r="BE17" s="413"/>
      <c r="BF17" s="413"/>
      <c r="BG17" s="413"/>
      <c r="BH17" s="413"/>
      <c r="BI17" s="413"/>
      <c r="BJ17" s="413"/>
      <c r="BK17" s="413"/>
      <c r="BL17" s="413"/>
      <c r="BM17" s="413"/>
      <c r="BN17" s="413"/>
      <c r="BO17" s="413"/>
      <c r="BP17" s="413"/>
      <c r="BQ17" s="413"/>
      <c r="BR17" s="413"/>
      <c r="BS17" s="413"/>
      <c r="BT17" s="413"/>
      <c r="BU17" s="413"/>
      <c r="BV17" s="413"/>
      <c r="BW17" s="413"/>
      <c r="BX17" s="413"/>
      <c r="BY17" s="413"/>
      <c r="BZ17" s="413"/>
      <c r="CA17" s="413"/>
      <c r="CB17" s="413"/>
    </row>
    <row r="18" spans="1:80" x14ac:dyDescent="0.25">
      <c r="A18" s="302">
        <v>22</v>
      </c>
      <c r="B18" s="412">
        <v>22</v>
      </c>
      <c r="C18" s="302" t="s">
        <v>212</v>
      </c>
      <c r="D18" s="302">
        <v>0</v>
      </c>
      <c r="E18" s="413">
        <v>0</v>
      </c>
      <c r="F18" s="413">
        <v>0</v>
      </c>
      <c r="G18" s="413">
        <v>0</v>
      </c>
      <c r="H18" s="413">
        <v>0</v>
      </c>
      <c r="I18" s="413">
        <v>0</v>
      </c>
      <c r="J18" s="413">
        <v>0</v>
      </c>
      <c r="K18" s="413">
        <v>0</v>
      </c>
      <c r="L18" s="413">
        <v>0</v>
      </c>
      <c r="M18" s="413">
        <v>0</v>
      </c>
      <c r="N18" s="413">
        <v>0</v>
      </c>
      <c r="O18" s="413">
        <v>0</v>
      </c>
      <c r="P18" s="413">
        <v>0</v>
      </c>
      <c r="Q18" s="413">
        <v>0</v>
      </c>
      <c r="R18" s="413">
        <v>0</v>
      </c>
      <c r="S18" s="413">
        <v>0</v>
      </c>
      <c r="T18" s="413">
        <v>0</v>
      </c>
      <c r="U18" s="413">
        <v>0</v>
      </c>
      <c r="V18" s="413">
        <v>0</v>
      </c>
      <c r="W18" s="413">
        <v>0</v>
      </c>
      <c r="X18" s="413">
        <v>0</v>
      </c>
      <c r="Y18" s="413">
        <v>0</v>
      </c>
      <c r="Z18" s="413">
        <v>0</v>
      </c>
      <c r="AA18" s="413">
        <v>0</v>
      </c>
      <c r="AB18" s="413">
        <v>0</v>
      </c>
      <c r="AC18" s="413">
        <v>0</v>
      </c>
      <c r="AD18" s="413">
        <v>0</v>
      </c>
      <c r="AE18" s="413">
        <v>1962901</v>
      </c>
      <c r="AF18" s="413">
        <v>0</v>
      </c>
      <c r="AG18" s="413">
        <v>0</v>
      </c>
      <c r="AH18" s="413">
        <v>0</v>
      </c>
      <c r="AI18" s="413">
        <v>6776</v>
      </c>
      <c r="AJ18" s="413">
        <v>0</v>
      </c>
      <c r="AK18" s="413">
        <v>0</v>
      </c>
      <c r="AL18" s="413">
        <v>0</v>
      </c>
      <c r="AM18" s="413">
        <v>0</v>
      </c>
      <c r="AN18" s="413">
        <v>0</v>
      </c>
      <c r="AO18" s="413">
        <v>0</v>
      </c>
      <c r="AP18" s="413">
        <v>0</v>
      </c>
      <c r="AQ18" s="413">
        <v>0</v>
      </c>
      <c r="AR18" s="413">
        <v>0</v>
      </c>
      <c r="AS18" s="413">
        <v>0</v>
      </c>
      <c r="AT18" s="413">
        <v>0</v>
      </c>
      <c r="AU18" s="413"/>
      <c r="AV18" s="413"/>
      <c r="AW18" s="413"/>
      <c r="AX18" s="413"/>
      <c r="AY18" s="413"/>
      <c r="AZ18" s="413"/>
      <c r="BA18" s="413"/>
      <c r="BB18" s="413"/>
      <c r="BC18" s="413"/>
      <c r="BD18" s="413"/>
      <c r="BE18" s="413"/>
      <c r="BF18" s="413"/>
      <c r="BG18" s="413"/>
      <c r="BH18" s="413"/>
      <c r="BI18" s="413"/>
      <c r="BJ18" s="413"/>
      <c r="BK18" s="413"/>
      <c r="BL18" s="413"/>
      <c r="BM18" s="413"/>
      <c r="BN18" s="413"/>
      <c r="BO18" s="413"/>
      <c r="BP18" s="413"/>
      <c r="BQ18" s="413"/>
      <c r="BR18" s="413"/>
      <c r="BS18" s="413"/>
      <c r="BT18" s="413"/>
      <c r="BU18" s="413"/>
      <c r="BV18" s="413"/>
      <c r="BW18" s="413"/>
      <c r="BX18" s="413"/>
      <c r="BY18" s="413"/>
      <c r="BZ18" s="413"/>
      <c r="CA18" s="413"/>
      <c r="CB18" s="413"/>
    </row>
    <row r="19" spans="1:80" x14ac:dyDescent="0.25">
      <c r="A19" s="302">
        <v>23</v>
      </c>
      <c r="B19" s="412">
        <v>23</v>
      </c>
      <c r="C19" s="302" t="s">
        <v>215</v>
      </c>
      <c r="D19" s="302">
        <v>0</v>
      </c>
      <c r="E19" s="413">
        <v>0</v>
      </c>
      <c r="F19" s="413">
        <v>46533</v>
      </c>
      <c r="G19" s="413">
        <v>0</v>
      </c>
      <c r="H19" s="413">
        <v>0</v>
      </c>
      <c r="I19" s="413">
        <v>21074</v>
      </c>
      <c r="J19" s="413">
        <v>215918</v>
      </c>
      <c r="K19" s="413">
        <v>0</v>
      </c>
      <c r="L19" s="413">
        <v>0</v>
      </c>
      <c r="M19" s="413">
        <v>0</v>
      </c>
      <c r="N19" s="413">
        <v>0</v>
      </c>
      <c r="O19" s="413">
        <v>0</v>
      </c>
      <c r="P19" s="413">
        <v>0</v>
      </c>
      <c r="Q19" s="413">
        <v>0</v>
      </c>
      <c r="R19" s="413">
        <v>1422</v>
      </c>
      <c r="S19" s="413">
        <v>31</v>
      </c>
      <c r="T19" s="413">
        <v>-2217</v>
      </c>
      <c r="U19" s="413">
        <v>602818</v>
      </c>
      <c r="V19" s="413">
        <v>0</v>
      </c>
      <c r="W19" s="413">
        <v>30994</v>
      </c>
      <c r="X19" s="413">
        <v>0</v>
      </c>
      <c r="Y19" s="413">
        <v>10161</v>
      </c>
      <c r="Z19" s="413">
        <v>124962</v>
      </c>
      <c r="AA19" s="413">
        <v>0</v>
      </c>
      <c r="AB19" s="413">
        <v>5021</v>
      </c>
      <c r="AC19" s="413">
        <v>10549</v>
      </c>
      <c r="AD19" s="413">
        <v>23305</v>
      </c>
      <c r="AE19" s="413">
        <v>813939</v>
      </c>
      <c r="AF19" s="413">
        <v>0</v>
      </c>
      <c r="AG19" s="413">
        <v>5503</v>
      </c>
      <c r="AH19" s="413">
        <v>0</v>
      </c>
      <c r="AI19" s="413">
        <v>1616742</v>
      </c>
      <c r="AJ19" s="413">
        <v>-534766</v>
      </c>
      <c r="AK19" s="413">
        <v>41486812</v>
      </c>
      <c r="AL19" s="413">
        <v>55433</v>
      </c>
      <c r="AM19" s="413">
        <v>-24657</v>
      </c>
      <c r="AN19" s="413">
        <v>2472</v>
      </c>
      <c r="AO19" s="413">
        <v>3484</v>
      </c>
      <c r="AP19" s="413">
        <v>20519</v>
      </c>
      <c r="AQ19" s="413">
        <v>319107</v>
      </c>
      <c r="AR19" s="413">
        <v>0</v>
      </c>
      <c r="AS19" s="413">
        <v>0</v>
      </c>
      <c r="AT19" s="413">
        <v>9150</v>
      </c>
      <c r="AU19" s="413"/>
      <c r="AV19" s="413"/>
      <c r="AW19" s="413"/>
      <c r="AX19" s="413"/>
      <c r="AY19" s="413"/>
      <c r="AZ19" s="413"/>
      <c r="BA19" s="413"/>
      <c r="BB19" s="413"/>
      <c r="BC19" s="413"/>
      <c r="BD19" s="413"/>
      <c r="BE19" s="413"/>
      <c r="BF19" s="413"/>
      <c r="BG19" s="413"/>
      <c r="BH19" s="413"/>
      <c r="BI19" s="413"/>
      <c r="BJ19" s="413"/>
      <c r="BK19" s="413"/>
      <c r="BL19" s="413"/>
      <c r="BM19" s="413"/>
      <c r="BN19" s="413"/>
      <c r="BO19" s="413"/>
      <c r="BP19" s="413"/>
      <c r="BQ19" s="413"/>
      <c r="BR19" s="413"/>
      <c r="BS19" s="413"/>
      <c r="BT19" s="413"/>
      <c r="BU19" s="413"/>
      <c r="BV19" s="413"/>
      <c r="BW19" s="413"/>
      <c r="BX19" s="413"/>
      <c r="BY19" s="413"/>
      <c r="BZ19" s="413"/>
      <c r="CA19" s="413"/>
      <c r="CB19" s="413"/>
    </row>
    <row r="20" spans="1:80" x14ac:dyDescent="0.25">
      <c r="A20" s="302">
        <v>31</v>
      </c>
      <c r="B20" s="412">
        <v>31</v>
      </c>
      <c r="C20" s="302" t="s">
        <v>1447</v>
      </c>
      <c r="D20" s="302">
        <v>26239</v>
      </c>
      <c r="E20" s="413">
        <v>982219</v>
      </c>
      <c r="F20" s="413">
        <v>0</v>
      </c>
      <c r="G20" s="413">
        <v>822720</v>
      </c>
      <c r="H20" s="413">
        <v>2070</v>
      </c>
      <c r="I20" s="413">
        <v>0</v>
      </c>
      <c r="J20" s="413">
        <v>0</v>
      </c>
      <c r="K20" s="413">
        <v>-101053</v>
      </c>
      <c r="L20" s="413">
        <v>3253508</v>
      </c>
      <c r="M20" s="413">
        <v>3710037</v>
      </c>
      <c r="N20" s="413">
        <v>-115700</v>
      </c>
      <c r="O20" s="413">
        <v>-64265</v>
      </c>
      <c r="P20" s="413">
        <v>3990117</v>
      </c>
      <c r="Q20" s="413">
        <v>0</v>
      </c>
      <c r="R20" s="413">
        <v>0</v>
      </c>
      <c r="S20" s="413">
        <v>0</v>
      </c>
      <c r="T20" s="413">
        <v>0</v>
      </c>
      <c r="U20" s="413">
        <v>0</v>
      </c>
      <c r="V20" s="413">
        <v>-882127</v>
      </c>
      <c r="W20" s="413">
        <v>0</v>
      </c>
      <c r="X20" s="413">
        <v>20728</v>
      </c>
      <c r="Y20" s="413">
        <v>0</v>
      </c>
      <c r="Z20" s="413">
        <v>0</v>
      </c>
      <c r="AA20" s="413">
        <v>4539606</v>
      </c>
      <c r="AB20" s="413">
        <v>0</v>
      </c>
      <c r="AC20" s="413">
        <v>0</v>
      </c>
      <c r="AD20" s="413">
        <v>0</v>
      </c>
      <c r="AE20" s="413">
        <v>0</v>
      </c>
      <c r="AF20" s="413">
        <v>-1295187</v>
      </c>
      <c r="AG20" s="413">
        <v>0</v>
      </c>
      <c r="AH20" s="413">
        <v>93526</v>
      </c>
      <c r="AI20" s="413">
        <v>114392</v>
      </c>
      <c r="AJ20" s="413">
        <v>0</v>
      </c>
      <c r="AK20" s="413">
        <v>-6238850</v>
      </c>
      <c r="AL20" s="413">
        <v>0</v>
      </c>
      <c r="AM20" s="413">
        <v>0</v>
      </c>
      <c r="AN20" s="413">
        <v>0</v>
      </c>
      <c r="AO20" s="413">
        <v>0</v>
      </c>
      <c r="AP20" s="413">
        <v>0</v>
      </c>
      <c r="AQ20" s="413">
        <v>0</v>
      </c>
      <c r="AR20" s="413">
        <v>692441</v>
      </c>
      <c r="AS20" s="413">
        <v>358592</v>
      </c>
      <c r="AT20" s="413">
        <v>0</v>
      </c>
      <c r="AU20" s="413"/>
      <c r="AV20" s="413"/>
      <c r="AW20" s="413"/>
      <c r="AX20" s="413"/>
      <c r="AY20" s="413"/>
      <c r="AZ20" s="413"/>
      <c r="BA20" s="413"/>
      <c r="BB20" s="413"/>
      <c r="BC20" s="413"/>
      <c r="BD20" s="413"/>
      <c r="BE20" s="413"/>
      <c r="BF20" s="413"/>
      <c r="BG20" s="413"/>
      <c r="BH20" s="413"/>
      <c r="BI20" s="413"/>
      <c r="BJ20" s="413"/>
      <c r="BK20" s="413"/>
      <c r="BL20" s="413"/>
      <c r="BM20" s="413"/>
      <c r="BN20" s="413"/>
      <c r="BO20" s="413"/>
      <c r="BP20" s="413"/>
      <c r="BQ20" s="413"/>
      <c r="BR20" s="413"/>
      <c r="BS20" s="413"/>
      <c r="BT20" s="413"/>
      <c r="BU20" s="413"/>
      <c r="BV20" s="413"/>
      <c r="BW20" s="413"/>
      <c r="BX20" s="413"/>
      <c r="BY20" s="413"/>
      <c r="BZ20" s="413"/>
      <c r="CA20" s="413"/>
      <c r="CB20" s="413"/>
    </row>
    <row r="21" spans="1:80" x14ac:dyDescent="0.25">
      <c r="A21" s="302">
        <v>32</v>
      </c>
      <c r="B21" s="412">
        <v>32</v>
      </c>
      <c r="C21" s="302" t="s">
        <v>298</v>
      </c>
      <c r="D21" s="302">
        <v>38515</v>
      </c>
      <c r="E21" s="413">
        <v>78999</v>
      </c>
      <c r="F21" s="413">
        <v>0</v>
      </c>
      <c r="G21" s="413">
        <v>1145515</v>
      </c>
      <c r="H21" s="413">
        <v>0</v>
      </c>
      <c r="I21" s="413">
        <v>0</v>
      </c>
      <c r="J21" s="413">
        <v>0</v>
      </c>
      <c r="K21" s="413">
        <v>236121</v>
      </c>
      <c r="L21" s="413">
        <v>1699938</v>
      </c>
      <c r="M21" s="413">
        <v>7486878</v>
      </c>
      <c r="N21" s="413">
        <v>241844</v>
      </c>
      <c r="O21" s="413">
        <v>59267</v>
      </c>
      <c r="P21" s="413">
        <v>3820876</v>
      </c>
      <c r="Q21" s="413">
        <v>0</v>
      </c>
      <c r="R21" s="413">
        <v>0</v>
      </c>
      <c r="S21" s="413">
        <v>0</v>
      </c>
      <c r="T21" s="413">
        <v>0</v>
      </c>
      <c r="U21" s="413">
        <v>0</v>
      </c>
      <c r="V21" s="413">
        <v>326025</v>
      </c>
      <c r="W21" s="413">
        <v>0</v>
      </c>
      <c r="X21" s="413">
        <v>261758</v>
      </c>
      <c r="Y21" s="413">
        <v>0</v>
      </c>
      <c r="Z21" s="413">
        <v>0</v>
      </c>
      <c r="AA21" s="413">
        <v>536675</v>
      </c>
      <c r="AB21" s="413">
        <v>0</v>
      </c>
      <c r="AC21" s="413">
        <v>0</v>
      </c>
      <c r="AD21" s="413">
        <v>0</v>
      </c>
      <c r="AE21" s="413">
        <v>0</v>
      </c>
      <c r="AF21" s="413">
        <v>5557083</v>
      </c>
      <c r="AG21" s="413">
        <v>0</v>
      </c>
      <c r="AH21" s="413">
        <v>58607</v>
      </c>
      <c r="AI21" s="413">
        <v>256416</v>
      </c>
      <c r="AJ21" s="413">
        <v>0</v>
      </c>
      <c r="AK21" s="413">
        <v>2770487</v>
      </c>
      <c r="AL21" s="413">
        <v>0</v>
      </c>
      <c r="AM21" s="413">
        <v>0</v>
      </c>
      <c r="AN21" s="413">
        <v>0</v>
      </c>
      <c r="AO21" s="413">
        <v>0</v>
      </c>
      <c r="AP21" s="413">
        <v>0</v>
      </c>
      <c r="AQ21" s="413">
        <v>0</v>
      </c>
      <c r="AR21" s="413">
        <v>401023</v>
      </c>
      <c r="AS21" s="413">
        <v>169975</v>
      </c>
      <c r="AT21" s="413">
        <v>0</v>
      </c>
      <c r="AU21" s="413"/>
      <c r="AV21" s="413"/>
      <c r="AW21" s="413"/>
      <c r="AX21" s="413"/>
      <c r="AY21" s="413"/>
      <c r="AZ21" s="413"/>
      <c r="BA21" s="413"/>
      <c r="BB21" s="413"/>
      <c r="BC21" s="413"/>
      <c r="BD21" s="413"/>
      <c r="BE21" s="413"/>
      <c r="BF21" s="413"/>
      <c r="BG21" s="413"/>
      <c r="BH21" s="413"/>
      <c r="BI21" s="413"/>
      <c r="BJ21" s="413"/>
      <c r="BK21" s="413"/>
      <c r="BL21" s="413"/>
      <c r="BM21" s="413"/>
      <c r="BN21" s="413"/>
      <c r="BO21" s="413"/>
      <c r="BP21" s="413"/>
      <c r="BQ21" s="413"/>
      <c r="BR21" s="413"/>
      <c r="BS21" s="413"/>
      <c r="BT21" s="413"/>
      <c r="BU21" s="413"/>
      <c r="BV21" s="413"/>
      <c r="BW21" s="413"/>
      <c r="BX21" s="413"/>
      <c r="BY21" s="413"/>
      <c r="BZ21" s="413"/>
      <c r="CA21" s="413"/>
      <c r="CB21" s="413"/>
    </row>
    <row r="22" spans="1:80" x14ac:dyDescent="0.25">
      <c r="A22" s="302">
        <v>33</v>
      </c>
      <c r="B22" s="412">
        <v>33</v>
      </c>
      <c r="C22" s="302" t="s">
        <v>299</v>
      </c>
      <c r="D22" s="302">
        <v>-183064</v>
      </c>
      <c r="E22" s="413">
        <v>1139144</v>
      </c>
      <c r="F22" s="413">
        <v>0</v>
      </c>
      <c r="G22" s="413">
        <v>-3279078</v>
      </c>
      <c r="H22" s="413">
        <v>-154052</v>
      </c>
      <c r="I22" s="413">
        <v>0</v>
      </c>
      <c r="J22" s="413">
        <v>0</v>
      </c>
      <c r="K22" s="413">
        <v>241525</v>
      </c>
      <c r="L22" s="413">
        <v>-4154241</v>
      </c>
      <c r="M22" s="413">
        <v>7263895</v>
      </c>
      <c r="N22" s="413">
        <v>-559496</v>
      </c>
      <c r="O22" s="413">
        <v>-12004</v>
      </c>
      <c r="P22" s="413">
        <v>6211818</v>
      </c>
      <c r="Q22" s="413">
        <v>0</v>
      </c>
      <c r="R22" s="413">
        <v>0</v>
      </c>
      <c r="S22" s="413">
        <v>0</v>
      </c>
      <c r="T22" s="413">
        <v>0</v>
      </c>
      <c r="U22" s="413">
        <v>0</v>
      </c>
      <c r="V22" s="413">
        <v>407881</v>
      </c>
      <c r="W22" s="413">
        <v>0</v>
      </c>
      <c r="X22" s="413">
        <v>-1496201</v>
      </c>
      <c r="Y22" s="413">
        <v>0</v>
      </c>
      <c r="Z22" s="413">
        <v>0</v>
      </c>
      <c r="AA22" s="413">
        <v>-1278297</v>
      </c>
      <c r="AB22" s="413">
        <v>0</v>
      </c>
      <c r="AC22" s="413">
        <v>0</v>
      </c>
      <c r="AD22" s="413">
        <v>0</v>
      </c>
      <c r="AE22" s="413">
        <v>0</v>
      </c>
      <c r="AF22" s="413">
        <v>5658752</v>
      </c>
      <c r="AG22" s="413">
        <v>0</v>
      </c>
      <c r="AH22" s="413">
        <v>114774</v>
      </c>
      <c r="AI22" s="413">
        <v>-418247</v>
      </c>
      <c r="AJ22" s="413">
        <v>0</v>
      </c>
      <c r="AK22" s="413">
        <v>-13827349</v>
      </c>
      <c r="AL22" s="413">
        <v>0</v>
      </c>
      <c r="AM22" s="413">
        <v>0</v>
      </c>
      <c r="AN22" s="413">
        <v>0</v>
      </c>
      <c r="AO22" s="413">
        <v>0</v>
      </c>
      <c r="AP22" s="413">
        <v>0</v>
      </c>
      <c r="AQ22" s="413">
        <v>0</v>
      </c>
      <c r="AR22" s="413">
        <v>-3966073</v>
      </c>
      <c r="AS22" s="413">
        <v>-342662</v>
      </c>
      <c r="AT22" s="413">
        <v>0</v>
      </c>
      <c r="AU22" s="413"/>
      <c r="AV22" s="413"/>
      <c r="AW22" s="413"/>
      <c r="AX22" s="413"/>
      <c r="AY22" s="413"/>
      <c r="AZ22" s="413"/>
      <c r="BA22" s="413"/>
      <c r="BB22" s="413"/>
      <c r="BC22" s="413"/>
      <c r="BD22" s="413"/>
      <c r="BE22" s="413"/>
      <c r="BF22" s="413"/>
      <c r="BG22" s="413"/>
      <c r="BH22" s="413"/>
      <c r="BI22" s="413"/>
      <c r="BJ22" s="413"/>
      <c r="BK22" s="413"/>
      <c r="BL22" s="413"/>
      <c r="BM22" s="413"/>
      <c r="BN22" s="413"/>
      <c r="BO22" s="413"/>
      <c r="BP22" s="413"/>
      <c r="BQ22" s="413"/>
      <c r="BR22" s="413"/>
      <c r="BS22" s="413"/>
      <c r="BT22" s="413"/>
      <c r="BU22" s="413"/>
      <c r="BV22" s="413"/>
      <c r="BW22" s="413"/>
      <c r="BX22" s="413"/>
      <c r="BY22" s="413"/>
      <c r="BZ22" s="413"/>
      <c r="CA22" s="413"/>
      <c r="CB22" s="413"/>
    </row>
    <row r="23" spans="1:80" x14ac:dyDescent="0.25">
      <c r="B23" s="412">
        <v>34</v>
      </c>
      <c r="C23" s="302" t="s">
        <v>300</v>
      </c>
      <c r="D23" s="302">
        <v>0</v>
      </c>
      <c r="E23" s="413">
        <v>0</v>
      </c>
      <c r="F23" s="413">
        <v>0</v>
      </c>
      <c r="G23" s="413">
        <v>0</v>
      </c>
      <c r="H23" s="413">
        <v>0</v>
      </c>
      <c r="I23" s="413">
        <v>0</v>
      </c>
      <c r="J23" s="413">
        <v>0</v>
      </c>
      <c r="K23" s="413">
        <v>0</v>
      </c>
      <c r="L23" s="413">
        <v>0</v>
      </c>
      <c r="M23" s="413">
        <v>0</v>
      </c>
      <c r="N23" s="413">
        <v>0</v>
      </c>
      <c r="O23" s="413">
        <v>0</v>
      </c>
      <c r="P23" s="413">
        <v>0</v>
      </c>
      <c r="Q23" s="413">
        <v>0</v>
      </c>
      <c r="R23" s="413">
        <v>0</v>
      </c>
      <c r="S23" s="413">
        <v>0</v>
      </c>
      <c r="T23" s="413">
        <v>0</v>
      </c>
      <c r="U23" s="413">
        <v>0</v>
      </c>
      <c r="V23" s="413">
        <v>0</v>
      </c>
      <c r="W23" s="413">
        <v>0</v>
      </c>
      <c r="X23" s="413">
        <v>0</v>
      </c>
      <c r="Y23" s="413">
        <v>0</v>
      </c>
      <c r="Z23" s="413">
        <v>0</v>
      </c>
      <c r="AA23" s="413">
        <v>0</v>
      </c>
      <c r="AB23" s="413">
        <v>0</v>
      </c>
      <c r="AC23" s="413">
        <v>0</v>
      </c>
      <c r="AD23" s="413">
        <v>0</v>
      </c>
      <c r="AE23" s="413">
        <v>0</v>
      </c>
      <c r="AF23" s="413">
        <v>0</v>
      </c>
      <c r="AG23" s="413">
        <v>0</v>
      </c>
      <c r="AH23" s="413">
        <v>0</v>
      </c>
      <c r="AI23" s="413">
        <v>0</v>
      </c>
      <c r="AJ23" s="413">
        <v>0</v>
      </c>
      <c r="AK23" s="413">
        <v>0</v>
      </c>
      <c r="AL23" s="413">
        <v>0</v>
      </c>
      <c r="AM23" s="413">
        <v>0</v>
      </c>
      <c r="AN23" s="413">
        <v>0</v>
      </c>
      <c r="AO23" s="413">
        <v>0</v>
      </c>
      <c r="AP23" s="413">
        <v>0</v>
      </c>
      <c r="AQ23" s="413">
        <v>0</v>
      </c>
      <c r="AR23" s="413">
        <v>0</v>
      </c>
      <c r="AS23" s="413">
        <v>0</v>
      </c>
      <c r="AT23" s="413">
        <v>0</v>
      </c>
      <c r="AU23" s="413"/>
      <c r="AV23" s="413"/>
      <c r="AW23" s="413"/>
      <c r="AX23" s="413"/>
      <c r="AY23" s="413"/>
      <c r="AZ23" s="413"/>
      <c r="BA23" s="413"/>
      <c r="BB23" s="413"/>
      <c r="BC23" s="413"/>
      <c r="BD23" s="413"/>
      <c r="BE23" s="413"/>
      <c r="BF23" s="413"/>
      <c r="BG23" s="413"/>
      <c r="BH23" s="413"/>
      <c r="BI23" s="413"/>
      <c r="BJ23" s="413"/>
      <c r="BK23" s="413"/>
      <c r="BL23" s="413"/>
      <c r="BM23" s="413"/>
      <c r="BN23" s="413"/>
      <c r="BO23" s="413"/>
      <c r="BP23" s="413"/>
      <c r="BQ23" s="413"/>
      <c r="BR23" s="413"/>
      <c r="BS23" s="413"/>
      <c r="BT23" s="413"/>
      <c r="BU23" s="413"/>
      <c r="BV23" s="413"/>
      <c r="BW23" s="413"/>
      <c r="BX23" s="413"/>
      <c r="BY23" s="413"/>
      <c r="BZ23" s="413"/>
      <c r="CA23" s="413"/>
      <c r="CB23" s="413"/>
    </row>
    <row r="24" spans="1:80" x14ac:dyDescent="0.25">
      <c r="B24" s="412">
        <v>35</v>
      </c>
      <c r="C24" s="302" t="s">
        <v>386</v>
      </c>
      <c r="D24" s="302">
        <v>0</v>
      </c>
      <c r="E24" s="413">
        <v>0</v>
      </c>
      <c r="F24" s="413">
        <v>0</v>
      </c>
      <c r="G24" s="413">
        <v>0</v>
      </c>
      <c r="H24" s="413">
        <v>0</v>
      </c>
      <c r="I24" s="413">
        <v>0</v>
      </c>
      <c r="J24" s="413">
        <v>0</v>
      </c>
      <c r="K24" s="413">
        <v>0</v>
      </c>
      <c r="L24" s="413">
        <v>0</v>
      </c>
      <c r="M24" s="413">
        <v>0</v>
      </c>
      <c r="N24" s="413">
        <v>0</v>
      </c>
      <c r="O24" s="413">
        <v>0</v>
      </c>
      <c r="P24" s="413">
        <v>0</v>
      </c>
      <c r="Q24" s="413">
        <v>0</v>
      </c>
      <c r="R24" s="413">
        <v>0</v>
      </c>
      <c r="S24" s="413">
        <v>0</v>
      </c>
      <c r="T24" s="413">
        <v>0</v>
      </c>
      <c r="U24" s="413">
        <v>0</v>
      </c>
      <c r="V24" s="413">
        <v>0</v>
      </c>
      <c r="W24" s="413">
        <v>0</v>
      </c>
      <c r="X24" s="413">
        <v>0</v>
      </c>
      <c r="Y24" s="413">
        <v>0</v>
      </c>
      <c r="Z24" s="413">
        <v>0</v>
      </c>
      <c r="AA24" s="413">
        <v>0</v>
      </c>
      <c r="AB24" s="413">
        <v>0</v>
      </c>
      <c r="AC24" s="413">
        <v>0</v>
      </c>
      <c r="AD24" s="413">
        <v>0</v>
      </c>
      <c r="AE24" s="413">
        <v>0</v>
      </c>
      <c r="AF24" s="413">
        <v>0</v>
      </c>
      <c r="AG24" s="413">
        <v>0</v>
      </c>
      <c r="AH24" s="413">
        <v>0</v>
      </c>
      <c r="AI24" s="413">
        <v>0</v>
      </c>
      <c r="AJ24" s="413">
        <v>0</v>
      </c>
      <c r="AK24" s="413">
        <v>0</v>
      </c>
      <c r="AL24" s="413">
        <v>0</v>
      </c>
      <c r="AM24" s="413">
        <v>0</v>
      </c>
      <c r="AN24" s="413">
        <v>0</v>
      </c>
      <c r="AO24" s="413">
        <v>0</v>
      </c>
      <c r="AP24" s="413">
        <v>0</v>
      </c>
      <c r="AQ24" s="413">
        <v>0</v>
      </c>
      <c r="AR24" s="413">
        <v>0</v>
      </c>
      <c r="AS24" s="413">
        <v>0</v>
      </c>
      <c r="AT24" s="413">
        <v>0</v>
      </c>
      <c r="AU24" s="413"/>
      <c r="AV24" s="413"/>
      <c r="AW24" s="413"/>
      <c r="AX24" s="413"/>
      <c r="AY24" s="413"/>
      <c r="AZ24" s="413"/>
      <c r="BA24" s="413"/>
      <c r="BB24" s="413"/>
      <c r="BC24" s="413"/>
      <c r="BD24" s="413"/>
      <c r="BE24" s="413"/>
      <c r="BF24" s="413"/>
      <c r="BG24" s="413"/>
      <c r="BH24" s="413"/>
      <c r="BI24" s="413"/>
      <c r="BJ24" s="413"/>
      <c r="BK24" s="413"/>
      <c r="BL24" s="413"/>
      <c r="BM24" s="413"/>
      <c r="BN24" s="413"/>
      <c r="BO24" s="413"/>
      <c r="BP24" s="413"/>
      <c r="BQ24" s="413"/>
      <c r="BR24" s="413"/>
      <c r="BS24" s="413"/>
      <c r="BT24" s="413"/>
      <c r="BU24" s="413"/>
      <c r="BV24" s="413"/>
      <c r="BW24" s="413"/>
      <c r="BX24" s="413"/>
      <c r="BY24" s="413"/>
      <c r="BZ24" s="413"/>
      <c r="CA24" s="413"/>
      <c r="CB24" s="413"/>
    </row>
    <row r="25" spans="1:80" x14ac:dyDescent="0.25">
      <c r="B25" s="412">
        <v>36</v>
      </c>
      <c r="C25" s="302" t="s">
        <v>387</v>
      </c>
      <c r="D25" s="302">
        <v>0</v>
      </c>
      <c r="E25" s="413">
        <v>0</v>
      </c>
      <c r="F25" s="413">
        <v>0</v>
      </c>
      <c r="G25" s="413">
        <v>0</v>
      </c>
      <c r="H25" s="413">
        <v>0</v>
      </c>
      <c r="I25" s="413">
        <v>0</v>
      </c>
      <c r="J25" s="413">
        <v>0</v>
      </c>
      <c r="K25" s="413">
        <v>0</v>
      </c>
      <c r="L25" s="413">
        <v>0</v>
      </c>
      <c r="M25" s="413">
        <v>0</v>
      </c>
      <c r="N25" s="413">
        <v>0</v>
      </c>
      <c r="O25" s="413">
        <v>0</v>
      </c>
      <c r="P25" s="413">
        <v>0</v>
      </c>
      <c r="Q25" s="413">
        <v>0</v>
      </c>
      <c r="R25" s="413">
        <v>0</v>
      </c>
      <c r="S25" s="413">
        <v>0</v>
      </c>
      <c r="T25" s="413">
        <v>0</v>
      </c>
      <c r="U25" s="413">
        <v>0</v>
      </c>
      <c r="V25" s="413">
        <v>0</v>
      </c>
      <c r="W25" s="413">
        <v>0</v>
      </c>
      <c r="X25" s="413">
        <v>0</v>
      </c>
      <c r="Y25" s="413">
        <v>0</v>
      </c>
      <c r="Z25" s="413">
        <v>0</v>
      </c>
      <c r="AA25" s="413">
        <v>0</v>
      </c>
      <c r="AB25" s="413">
        <v>0</v>
      </c>
      <c r="AC25" s="413">
        <v>0</v>
      </c>
      <c r="AD25" s="413">
        <v>0</v>
      </c>
      <c r="AE25" s="413">
        <v>0</v>
      </c>
      <c r="AF25" s="413">
        <v>0</v>
      </c>
      <c r="AG25" s="413">
        <v>0</v>
      </c>
      <c r="AH25" s="413">
        <v>0</v>
      </c>
      <c r="AI25" s="413">
        <v>0</v>
      </c>
      <c r="AJ25" s="413">
        <v>0</v>
      </c>
      <c r="AK25" s="413">
        <v>0</v>
      </c>
      <c r="AL25" s="413">
        <v>0</v>
      </c>
      <c r="AM25" s="413">
        <v>0</v>
      </c>
      <c r="AN25" s="413">
        <v>0</v>
      </c>
      <c r="AO25" s="413">
        <v>0</v>
      </c>
      <c r="AP25" s="413">
        <v>0</v>
      </c>
      <c r="AQ25" s="413">
        <v>0</v>
      </c>
      <c r="AR25" s="413">
        <v>0</v>
      </c>
      <c r="AS25" s="413">
        <v>0</v>
      </c>
      <c r="AT25" s="413">
        <v>0</v>
      </c>
      <c r="AU25" s="413"/>
      <c r="AV25" s="413"/>
      <c r="AW25" s="413"/>
      <c r="AX25" s="413"/>
      <c r="AY25" s="413"/>
      <c r="AZ25" s="413"/>
      <c r="BA25" s="413"/>
      <c r="BB25" s="413"/>
      <c r="BC25" s="413"/>
      <c r="BD25" s="413"/>
      <c r="BE25" s="413"/>
      <c r="BF25" s="413"/>
      <c r="BG25" s="413"/>
      <c r="BH25" s="413"/>
      <c r="BI25" s="413"/>
      <c r="BJ25" s="413"/>
      <c r="BK25" s="413"/>
      <c r="BL25" s="413"/>
      <c r="BM25" s="413"/>
      <c r="BN25" s="413"/>
      <c r="BO25" s="413"/>
      <c r="BP25" s="413"/>
      <c r="BQ25" s="413"/>
      <c r="BR25" s="413"/>
      <c r="BS25" s="413"/>
      <c r="BT25" s="413"/>
      <c r="BU25" s="413"/>
      <c r="BV25" s="413"/>
      <c r="BW25" s="413"/>
      <c r="BX25" s="413"/>
      <c r="BY25" s="413"/>
      <c r="BZ25" s="413"/>
      <c r="CA25" s="413"/>
      <c r="CB25" s="413"/>
    </row>
    <row r="26" spans="1:80" x14ac:dyDescent="0.25">
      <c r="B26" s="412">
        <v>37</v>
      </c>
      <c r="C26" s="302" t="s">
        <v>301</v>
      </c>
      <c r="D26" s="302">
        <v>0</v>
      </c>
      <c r="E26" s="413">
        <v>0</v>
      </c>
      <c r="F26" s="413">
        <v>0</v>
      </c>
      <c r="G26" s="413">
        <v>0</v>
      </c>
      <c r="H26" s="413">
        <v>0</v>
      </c>
      <c r="I26" s="413">
        <v>0</v>
      </c>
      <c r="J26" s="413">
        <v>0</v>
      </c>
      <c r="K26" s="413">
        <v>0</v>
      </c>
      <c r="L26" s="413">
        <v>0</v>
      </c>
      <c r="M26" s="413">
        <v>0</v>
      </c>
      <c r="N26" s="413">
        <v>0</v>
      </c>
      <c r="O26" s="413">
        <v>0</v>
      </c>
      <c r="P26" s="413">
        <v>0</v>
      </c>
      <c r="Q26" s="413">
        <v>0</v>
      </c>
      <c r="R26" s="413">
        <v>0</v>
      </c>
      <c r="S26" s="413">
        <v>0</v>
      </c>
      <c r="T26" s="413">
        <v>0</v>
      </c>
      <c r="U26" s="413">
        <v>0</v>
      </c>
      <c r="V26" s="413">
        <v>0</v>
      </c>
      <c r="W26" s="413">
        <v>0</v>
      </c>
      <c r="X26" s="413">
        <v>0</v>
      </c>
      <c r="Y26" s="413">
        <v>0</v>
      </c>
      <c r="Z26" s="413">
        <v>0</v>
      </c>
      <c r="AA26" s="413">
        <v>0</v>
      </c>
      <c r="AB26" s="413">
        <v>0</v>
      </c>
      <c r="AC26" s="413">
        <v>0</v>
      </c>
      <c r="AD26" s="413">
        <v>0</v>
      </c>
      <c r="AE26" s="413">
        <v>0</v>
      </c>
      <c r="AF26" s="413">
        <v>0</v>
      </c>
      <c r="AG26" s="413">
        <v>0</v>
      </c>
      <c r="AH26" s="413">
        <v>0</v>
      </c>
      <c r="AI26" s="413">
        <v>0</v>
      </c>
      <c r="AJ26" s="413">
        <v>0</v>
      </c>
      <c r="AK26" s="413">
        <v>0</v>
      </c>
      <c r="AL26" s="413">
        <v>0</v>
      </c>
      <c r="AM26" s="413">
        <v>0</v>
      </c>
      <c r="AN26" s="413">
        <v>0</v>
      </c>
      <c r="AO26" s="413">
        <v>0</v>
      </c>
      <c r="AP26" s="413">
        <v>0</v>
      </c>
      <c r="AQ26" s="413">
        <v>0</v>
      </c>
      <c r="AR26" s="413">
        <v>0</v>
      </c>
      <c r="AS26" s="413">
        <v>0</v>
      </c>
      <c r="AT26" s="413">
        <v>0</v>
      </c>
      <c r="AU26" s="413"/>
      <c r="AV26" s="413"/>
      <c r="AW26" s="413"/>
      <c r="AX26" s="413"/>
      <c r="AY26" s="413"/>
      <c r="AZ26" s="413"/>
      <c r="BA26" s="413"/>
      <c r="BB26" s="413"/>
      <c r="BC26" s="413"/>
      <c r="BD26" s="413"/>
      <c r="BE26" s="413"/>
      <c r="BF26" s="413"/>
      <c r="BG26" s="413"/>
      <c r="BH26" s="413"/>
      <c r="BI26" s="413"/>
      <c r="BJ26" s="413"/>
      <c r="BK26" s="413"/>
      <c r="BL26" s="413"/>
      <c r="BM26" s="413"/>
      <c r="BN26" s="413"/>
      <c r="BO26" s="413"/>
      <c r="BP26" s="413"/>
      <c r="BQ26" s="413"/>
      <c r="BR26" s="413"/>
      <c r="BS26" s="413"/>
      <c r="BT26" s="413"/>
      <c r="BU26" s="413"/>
      <c r="BV26" s="413"/>
      <c r="BW26" s="413"/>
      <c r="BX26" s="413"/>
      <c r="BY26" s="413"/>
      <c r="BZ26" s="413"/>
      <c r="CA26" s="413"/>
      <c r="CB26" s="413"/>
    </row>
    <row r="27" spans="1:80" x14ac:dyDescent="0.25">
      <c r="B27" s="412">
        <v>38</v>
      </c>
      <c r="C27" s="302" t="s">
        <v>388</v>
      </c>
      <c r="D27" s="302">
        <v>0</v>
      </c>
      <c r="E27" s="413">
        <v>0</v>
      </c>
      <c r="F27" s="413">
        <v>0</v>
      </c>
      <c r="G27" s="413">
        <v>0</v>
      </c>
      <c r="H27" s="413">
        <v>0</v>
      </c>
      <c r="I27" s="413">
        <v>0</v>
      </c>
      <c r="J27" s="413">
        <v>0</v>
      </c>
      <c r="K27" s="413">
        <v>0</v>
      </c>
      <c r="L27" s="413">
        <v>0</v>
      </c>
      <c r="M27" s="413">
        <v>0</v>
      </c>
      <c r="N27" s="413">
        <v>0</v>
      </c>
      <c r="O27" s="413">
        <v>0</v>
      </c>
      <c r="P27" s="413">
        <v>0</v>
      </c>
      <c r="Q27" s="413">
        <v>0</v>
      </c>
      <c r="R27" s="413">
        <v>0</v>
      </c>
      <c r="S27" s="413">
        <v>0</v>
      </c>
      <c r="T27" s="413">
        <v>0</v>
      </c>
      <c r="U27" s="413">
        <v>0</v>
      </c>
      <c r="V27" s="413">
        <v>0</v>
      </c>
      <c r="W27" s="413">
        <v>0</v>
      </c>
      <c r="X27" s="413">
        <v>0</v>
      </c>
      <c r="Y27" s="413">
        <v>0</v>
      </c>
      <c r="Z27" s="413">
        <v>0</v>
      </c>
      <c r="AA27" s="413">
        <v>0</v>
      </c>
      <c r="AB27" s="413">
        <v>0</v>
      </c>
      <c r="AC27" s="413">
        <v>0</v>
      </c>
      <c r="AD27" s="413">
        <v>0</v>
      </c>
      <c r="AE27" s="413">
        <v>0</v>
      </c>
      <c r="AF27" s="413">
        <v>0</v>
      </c>
      <c r="AG27" s="413">
        <v>0</v>
      </c>
      <c r="AH27" s="413">
        <v>0</v>
      </c>
      <c r="AI27" s="413">
        <v>0</v>
      </c>
      <c r="AJ27" s="413">
        <v>0</v>
      </c>
      <c r="AK27" s="413">
        <v>0</v>
      </c>
      <c r="AL27" s="413">
        <v>0</v>
      </c>
      <c r="AM27" s="413">
        <v>0</v>
      </c>
      <c r="AN27" s="413">
        <v>0</v>
      </c>
      <c r="AO27" s="413">
        <v>0</v>
      </c>
      <c r="AP27" s="413">
        <v>0</v>
      </c>
      <c r="AQ27" s="413">
        <v>0</v>
      </c>
      <c r="AR27" s="413">
        <v>0</v>
      </c>
      <c r="AS27" s="413">
        <v>0</v>
      </c>
      <c r="AT27" s="413">
        <v>0</v>
      </c>
      <c r="AU27" s="413"/>
      <c r="AV27" s="413"/>
      <c r="AW27" s="413"/>
      <c r="AX27" s="413"/>
      <c r="AY27" s="413"/>
      <c r="AZ27" s="413"/>
      <c r="BA27" s="413"/>
      <c r="BB27" s="413"/>
      <c r="BC27" s="413"/>
      <c r="BD27" s="413"/>
      <c r="BE27" s="413"/>
      <c r="BF27" s="413"/>
      <c r="BG27" s="413"/>
      <c r="BH27" s="413"/>
      <c r="BI27" s="413"/>
      <c r="BJ27" s="413"/>
      <c r="BK27" s="413"/>
      <c r="BL27" s="413"/>
      <c r="BM27" s="413"/>
      <c r="BN27" s="413"/>
      <c r="BO27" s="413"/>
      <c r="BP27" s="413"/>
      <c r="BQ27" s="413"/>
      <c r="BR27" s="413"/>
      <c r="BS27" s="413"/>
      <c r="BT27" s="413"/>
      <c r="BU27" s="413"/>
      <c r="BV27" s="413"/>
      <c r="BW27" s="413"/>
      <c r="BX27" s="413"/>
      <c r="BY27" s="413"/>
      <c r="BZ27" s="413"/>
      <c r="CA27" s="413"/>
      <c r="CB27" s="413"/>
    </row>
    <row r="28" spans="1:80" x14ac:dyDescent="0.25">
      <c r="B28" s="412">
        <v>39</v>
      </c>
      <c r="C28" s="302" t="s">
        <v>302</v>
      </c>
      <c r="D28" s="302">
        <v>0</v>
      </c>
      <c r="E28" s="413">
        <v>0</v>
      </c>
      <c r="F28" s="413">
        <v>0</v>
      </c>
      <c r="G28" s="413">
        <v>0</v>
      </c>
      <c r="H28" s="413">
        <v>0</v>
      </c>
      <c r="I28" s="413">
        <v>0</v>
      </c>
      <c r="J28" s="413">
        <v>0</v>
      </c>
      <c r="K28" s="413">
        <v>0</v>
      </c>
      <c r="L28" s="413">
        <v>0</v>
      </c>
      <c r="M28" s="413">
        <v>0</v>
      </c>
      <c r="N28" s="413">
        <v>0</v>
      </c>
      <c r="O28" s="413">
        <v>0</v>
      </c>
      <c r="P28" s="413">
        <v>0</v>
      </c>
      <c r="Q28" s="413">
        <v>0</v>
      </c>
      <c r="R28" s="413">
        <v>0</v>
      </c>
      <c r="S28" s="413">
        <v>0</v>
      </c>
      <c r="T28" s="413">
        <v>0</v>
      </c>
      <c r="U28" s="413">
        <v>0</v>
      </c>
      <c r="V28" s="413">
        <v>0</v>
      </c>
      <c r="W28" s="413">
        <v>0</v>
      </c>
      <c r="X28" s="413">
        <v>0</v>
      </c>
      <c r="Y28" s="413">
        <v>0</v>
      </c>
      <c r="Z28" s="413">
        <v>0</v>
      </c>
      <c r="AA28" s="413">
        <v>0</v>
      </c>
      <c r="AB28" s="413">
        <v>0</v>
      </c>
      <c r="AC28" s="413">
        <v>0</v>
      </c>
      <c r="AD28" s="413">
        <v>0</v>
      </c>
      <c r="AE28" s="413">
        <v>0</v>
      </c>
      <c r="AF28" s="413">
        <v>0</v>
      </c>
      <c r="AG28" s="413">
        <v>0</v>
      </c>
      <c r="AH28" s="413">
        <v>0</v>
      </c>
      <c r="AI28" s="413">
        <v>0</v>
      </c>
      <c r="AJ28" s="413">
        <v>0</v>
      </c>
      <c r="AK28" s="413">
        <v>0</v>
      </c>
      <c r="AL28" s="413">
        <v>0</v>
      </c>
      <c r="AM28" s="413">
        <v>0</v>
      </c>
      <c r="AN28" s="413">
        <v>0</v>
      </c>
      <c r="AO28" s="413">
        <v>0</v>
      </c>
      <c r="AP28" s="413">
        <v>0</v>
      </c>
      <c r="AQ28" s="413">
        <v>0</v>
      </c>
      <c r="AR28" s="413">
        <v>0</v>
      </c>
      <c r="AS28" s="413">
        <v>0</v>
      </c>
      <c r="AT28" s="413">
        <v>0</v>
      </c>
      <c r="AU28" s="413"/>
      <c r="AV28" s="413"/>
      <c r="AW28" s="413"/>
      <c r="AX28" s="413"/>
      <c r="AY28" s="413"/>
      <c r="AZ28" s="413"/>
      <c r="BA28" s="413"/>
      <c r="BB28" s="413"/>
      <c r="BC28" s="413"/>
      <c r="BD28" s="413"/>
      <c r="BE28" s="413"/>
      <c r="BF28" s="413"/>
      <c r="BG28" s="413"/>
      <c r="BH28" s="413"/>
      <c r="BI28" s="413"/>
      <c r="BJ28" s="413"/>
      <c r="BK28" s="413"/>
      <c r="BL28" s="413"/>
      <c r="BM28" s="413"/>
      <c r="BN28" s="413"/>
      <c r="BO28" s="413"/>
      <c r="BP28" s="413"/>
      <c r="BQ28" s="413"/>
      <c r="BR28" s="413"/>
      <c r="BS28" s="413"/>
      <c r="BT28" s="413"/>
      <c r="BU28" s="413"/>
      <c r="BV28" s="413"/>
      <c r="BW28" s="413"/>
      <c r="BX28" s="413"/>
      <c r="BY28" s="413"/>
      <c r="BZ28" s="413"/>
      <c r="CA28" s="413"/>
      <c r="CB28" s="413"/>
    </row>
    <row r="29" spans="1:80" x14ac:dyDescent="0.25">
      <c r="B29" s="412">
        <v>40</v>
      </c>
      <c r="C29" s="302" t="s">
        <v>303</v>
      </c>
      <c r="D29" s="302">
        <v>0</v>
      </c>
      <c r="E29" s="413">
        <v>0</v>
      </c>
      <c r="F29" s="413">
        <v>0</v>
      </c>
      <c r="G29" s="413">
        <v>0</v>
      </c>
      <c r="H29" s="413">
        <v>0</v>
      </c>
      <c r="I29" s="413">
        <v>0</v>
      </c>
      <c r="J29" s="413">
        <v>0</v>
      </c>
      <c r="K29" s="413">
        <v>0</v>
      </c>
      <c r="L29" s="413">
        <v>0</v>
      </c>
      <c r="M29" s="413">
        <v>0</v>
      </c>
      <c r="N29" s="413">
        <v>0</v>
      </c>
      <c r="O29" s="413">
        <v>0</v>
      </c>
      <c r="P29" s="413">
        <v>0</v>
      </c>
      <c r="Q29" s="413">
        <v>0</v>
      </c>
      <c r="R29" s="413">
        <v>0</v>
      </c>
      <c r="S29" s="413">
        <v>0</v>
      </c>
      <c r="T29" s="413">
        <v>0</v>
      </c>
      <c r="U29" s="413">
        <v>0</v>
      </c>
      <c r="V29" s="413">
        <v>0</v>
      </c>
      <c r="W29" s="413">
        <v>0</v>
      </c>
      <c r="X29" s="413">
        <v>0</v>
      </c>
      <c r="Y29" s="413">
        <v>0</v>
      </c>
      <c r="Z29" s="413">
        <v>0</v>
      </c>
      <c r="AA29" s="413">
        <v>0</v>
      </c>
      <c r="AB29" s="413">
        <v>0</v>
      </c>
      <c r="AC29" s="413">
        <v>0</v>
      </c>
      <c r="AD29" s="413">
        <v>0</v>
      </c>
      <c r="AE29" s="413">
        <v>0</v>
      </c>
      <c r="AF29" s="413">
        <v>0</v>
      </c>
      <c r="AG29" s="413">
        <v>0</v>
      </c>
      <c r="AH29" s="413">
        <v>0</v>
      </c>
      <c r="AI29" s="413">
        <v>0</v>
      </c>
      <c r="AJ29" s="413">
        <v>0</v>
      </c>
      <c r="AK29" s="413">
        <v>0</v>
      </c>
      <c r="AL29" s="413">
        <v>0</v>
      </c>
      <c r="AM29" s="413">
        <v>0</v>
      </c>
      <c r="AN29" s="413">
        <v>0</v>
      </c>
      <c r="AO29" s="413">
        <v>0</v>
      </c>
      <c r="AP29" s="413">
        <v>0</v>
      </c>
      <c r="AQ29" s="413">
        <v>0</v>
      </c>
      <c r="AR29" s="413">
        <v>0</v>
      </c>
      <c r="AS29" s="413">
        <v>0</v>
      </c>
      <c r="AT29" s="413">
        <v>0</v>
      </c>
      <c r="AU29" s="413"/>
      <c r="AV29" s="413"/>
      <c r="AW29" s="413"/>
      <c r="AX29" s="413"/>
      <c r="AY29" s="413"/>
      <c r="AZ29" s="413"/>
      <c r="BA29" s="413"/>
      <c r="BB29" s="413"/>
      <c r="BC29" s="413"/>
      <c r="BD29" s="413"/>
      <c r="BE29" s="413"/>
      <c r="BF29" s="413"/>
      <c r="BG29" s="413"/>
      <c r="BH29" s="413"/>
      <c r="BI29" s="413"/>
      <c r="BJ29" s="413"/>
      <c r="BK29" s="413"/>
      <c r="BL29" s="413"/>
      <c r="BM29" s="413"/>
      <c r="BN29" s="413"/>
      <c r="BO29" s="413"/>
      <c r="BP29" s="413"/>
      <c r="BQ29" s="413"/>
      <c r="BR29" s="413"/>
      <c r="BS29" s="413"/>
      <c r="BT29" s="413"/>
      <c r="BU29" s="413"/>
      <c r="BV29" s="413"/>
      <c r="BW29" s="413"/>
      <c r="BX29" s="413"/>
      <c r="BY29" s="413"/>
      <c r="BZ29" s="413"/>
      <c r="CA29" s="413"/>
      <c r="CB29" s="413"/>
    </row>
    <row r="30" spans="1:80" x14ac:dyDescent="0.25">
      <c r="B30" s="412">
        <v>41</v>
      </c>
      <c r="C30" s="302" t="s">
        <v>304</v>
      </c>
      <c r="D30" s="302">
        <v>0</v>
      </c>
      <c r="E30" s="413">
        <v>0</v>
      </c>
      <c r="F30" s="413">
        <v>0</v>
      </c>
      <c r="G30" s="413">
        <v>0</v>
      </c>
      <c r="H30" s="413">
        <v>0</v>
      </c>
      <c r="I30" s="413">
        <v>0</v>
      </c>
      <c r="J30" s="413">
        <v>0</v>
      </c>
      <c r="K30" s="413">
        <v>0</v>
      </c>
      <c r="L30" s="413">
        <v>0</v>
      </c>
      <c r="M30" s="413">
        <v>0</v>
      </c>
      <c r="N30" s="413">
        <v>0</v>
      </c>
      <c r="O30" s="413">
        <v>0</v>
      </c>
      <c r="P30" s="413">
        <v>0</v>
      </c>
      <c r="Q30" s="413">
        <v>0</v>
      </c>
      <c r="R30" s="413">
        <v>0</v>
      </c>
      <c r="S30" s="413">
        <v>0</v>
      </c>
      <c r="T30" s="413">
        <v>0</v>
      </c>
      <c r="U30" s="413">
        <v>0</v>
      </c>
      <c r="V30" s="413">
        <v>0</v>
      </c>
      <c r="W30" s="413">
        <v>0</v>
      </c>
      <c r="X30" s="413">
        <v>0</v>
      </c>
      <c r="Y30" s="413">
        <v>0</v>
      </c>
      <c r="Z30" s="413">
        <v>0</v>
      </c>
      <c r="AA30" s="413">
        <v>0</v>
      </c>
      <c r="AB30" s="413">
        <v>0</v>
      </c>
      <c r="AC30" s="413">
        <v>0</v>
      </c>
      <c r="AD30" s="413">
        <v>0</v>
      </c>
      <c r="AE30" s="413">
        <v>0</v>
      </c>
      <c r="AF30" s="413">
        <v>0</v>
      </c>
      <c r="AG30" s="413">
        <v>0</v>
      </c>
      <c r="AH30" s="413">
        <v>0</v>
      </c>
      <c r="AI30" s="413">
        <v>0</v>
      </c>
      <c r="AJ30" s="413">
        <v>0</v>
      </c>
      <c r="AK30" s="413">
        <v>0</v>
      </c>
      <c r="AL30" s="413">
        <v>0</v>
      </c>
      <c r="AM30" s="413">
        <v>0</v>
      </c>
      <c r="AN30" s="413">
        <v>0</v>
      </c>
      <c r="AO30" s="413">
        <v>0</v>
      </c>
      <c r="AP30" s="413">
        <v>0</v>
      </c>
      <c r="AQ30" s="413">
        <v>0</v>
      </c>
      <c r="AR30" s="413">
        <v>0</v>
      </c>
      <c r="AS30" s="413">
        <v>0</v>
      </c>
      <c r="AT30" s="413">
        <v>0</v>
      </c>
      <c r="AU30" s="413"/>
      <c r="AV30" s="413"/>
      <c r="AW30" s="413"/>
      <c r="AX30" s="413"/>
      <c r="AY30" s="413"/>
      <c r="AZ30" s="413"/>
      <c r="BA30" s="413"/>
      <c r="BB30" s="413"/>
      <c r="BC30" s="413"/>
      <c r="BD30" s="413"/>
      <c r="BE30" s="413"/>
      <c r="BF30" s="413"/>
      <c r="BG30" s="413"/>
      <c r="BH30" s="413"/>
      <c r="BI30" s="413"/>
      <c r="BJ30" s="413"/>
      <c r="BK30" s="413"/>
      <c r="BL30" s="413"/>
      <c r="BM30" s="413"/>
      <c r="BN30" s="413"/>
      <c r="BO30" s="413"/>
      <c r="BP30" s="413"/>
      <c r="BQ30" s="413"/>
      <c r="BR30" s="413"/>
      <c r="BS30" s="413"/>
      <c r="BT30" s="413"/>
      <c r="BU30" s="413"/>
      <c r="BV30" s="413"/>
      <c r="BW30" s="413"/>
      <c r="BX30" s="413"/>
      <c r="BY30" s="413"/>
      <c r="BZ30" s="413"/>
      <c r="CA30" s="413"/>
      <c r="CB30" s="413"/>
    </row>
    <row r="31" spans="1:80" x14ac:dyDescent="0.25">
      <c r="B31" s="412">
        <v>43</v>
      </c>
      <c r="C31" s="302" t="s">
        <v>305</v>
      </c>
      <c r="D31" s="302">
        <v>0</v>
      </c>
      <c r="E31" s="413">
        <v>0</v>
      </c>
      <c r="F31" s="413">
        <v>0</v>
      </c>
      <c r="G31" s="413">
        <v>0</v>
      </c>
      <c r="H31" s="413">
        <v>0</v>
      </c>
      <c r="I31" s="413">
        <v>0</v>
      </c>
      <c r="J31" s="413">
        <v>0</v>
      </c>
      <c r="K31" s="413">
        <v>0</v>
      </c>
      <c r="L31" s="413">
        <v>0</v>
      </c>
      <c r="M31" s="413">
        <v>0</v>
      </c>
      <c r="N31" s="413">
        <v>0</v>
      </c>
      <c r="O31" s="413">
        <v>0</v>
      </c>
      <c r="P31" s="413">
        <v>0</v>
      </c>
      <c r="Q31" s="413">
        <v>0</v>
      </c>
      <c r="R31" s="413">
        <v>0</v>
      </c>
      <c r="S31" s="413">
        <v>0</v>
      </c>
      <c r="T31" s="413">
        <v>0</v>
      </c>
      <c r="U31" s="413">
        <v>0</v>
      </c>
      <c r="V31" s="413">
        <v>0</v>
      </c>
      <c r="W31" s="413">
        <v>0</v>
      </c>
      <c r="X31" s="413">
        <v>0</v>
      </c>
      <c r="Y31" s="413">
        <v>0</v>
      </c>
      <c r="Z31" s="413">
        <v>0</v>
      </c>
      <c r="AA31" s="413">
        <v>0</v>
      </c>
      <c r="AB31" s="413">
        <v>0</v>
      </c>
      <c r="AC31" s="413">
        <v>0</v>
      </c>
      <c r="AD31" s="413">
        <v>0</v>
      </c>
      <c r="AE31" s="413">
        <v>0</v>
      </c>
      <c r="AF31" s="413">
        <v>0</v>
      </c>
      <c r="AG31" s="413">
        <v>0</v>
      </c>
      <c r="AH31" s="413">
        <v>0</v>
      </c>
      <c r="AI31" s="413">
        <v>0</v>
      </c>
      <c r="AJ31" s="413">
        <v>0</v>
      </c>
      <c r="AK31" s="413">
        <v>0</v>
      </c>
      <c r="AL31" s="413">
        <v>0</v>
      </c>
      <c r="AM31" s="413">
        <v>0</v>
      </c>
      <c r="AN31" s="413">
        <v>0</v>
      </c>
      <c r="AO31" s="413">
        <v>0</v>
      </c>
      <c r="AP31" s="413">
        <v>0</v>
      </c>
      <c r="AQ31" s="413">
        <v>0</v>
      </c>
      <c r="AR31" s="413">
        <v>0</v>
      </c>
      <c r="AS31" s="413">
        <v>0</v>
      </c>
      <c r="AT31" s="413">
        <v>0</v>
      </c>
      <c r="AU31" s="413"/>
      <c r="AV31" s="413"/>
      <c r="AW31" s="413"/>
      <c r="AX31" s="413"/>
      <c r="AY31" s="413"/>
      <c r="AZ31" s="413"/>
      <c r="BA31" s="413"/>
      <c r="BB31" s="413"/>
      <c r="BC31" s="413"/>
      <c r="BD31" s="413"/>
      <c r="BE31" s="413"/>
      <c r="BF31" s="413"/>
      <c r="BG31" s="413"/>
      <c r="BH31" s="413"/>
      <c r="BI31" s="413"/>
      <c r="BJ31" s="413"/>
      <c r="BK31" s="413"/>
      <c r="BL31" s="413"/>
      <c r="BM31" s="413"/>
      <c r="BN31" s="413"/>
      <c r="BO31" s="413"/>
      <c r="BP31" s="413"/>
      <c r="BQ31" s="413"/>
      <c r="BR31" s="413"/>
      <c r="BS31" s="413"/>
      <c r="BT31" s="413"/>
      <c r="BU31" s="413"/>
      <c r="BV31" s="413"/>
      <c r="BW31" s="413"/>
      <c r="BX31" s="413"/>
      <c r="BY31" s="413"/>
      <c r="BZ31" s="413"/>
      <c r="CA31" s="413"/>
      <c r="CB31" s="413"/>
    </row>
    <row r="32" spans="1:80" x14ac:dyDescent="0.25">
      <c r="B32" s="412">
        <v>44</v>
      </c>
      <c r="C32" s="302" t="s">
        <v>1448</v>
      </c>
      <c r="D32" s="302">
        <v>0</v>
      </c>
      <c r="E32" s="413">
        <v>0</v>
      </c>
      <c r="F32" s="413">
        <v>0</v>
      </c>
      <c r="G32" s="413">
        <v>0</v>
      </c>
      <c r="H32" s="413">
        <v>0</v>
      </c>
      <c r="I32" s="413">
        <v>0</v>
      </c>
      <c r="J32" s="413">
        <v>0</v>
      </c>
      <c r="K32" s="413">
        <v>0</v>
      </c>
      <c r="L32" s="413">
        <v>0</v>
      </c>
      <c r="M32" s="413">
        <v>0</v>
      </c>
      <c r="N32" s="413">
        <v>0</v>
      </c>
      <c r="O32" s="413">
        <v>0</v>
      </c>
      <c r="P32" s="413">
        <v>0</v>
      </c>
      <c r="Q32" s="413">
        <v>0</v>
      </c>
      <c r="R32" s="413">
        <v>0</v>
      </c>
      <c r="S32" s="413">
        <v>0</v>
      </c>
      <c r="T32" s="413">
        <v>0</v>
      </c>
      <c r="U32" s="413">
        <v>0</v>
      </c>
      <c r="V32" s="413">
        <v>0</v>
      </c>
      <c r="W32" s="413">
        <v>0</v>
      </c>
      <c r="X32" s="413">
        <v>0</v>
      </c>
      <c r="Y32" s="413">
        <v>0</v>
      </c>
      <c r="Z32" s="413">
        <v>0</v>
      </c>
      <c r="AA32" s="413">
        <v>0</v>
      </c>
      <c r="AB32" s="413">
        <v>0</v>
      </c>
      <c r="AC32" s="413">
        <v>0</v>
      </c>
      <c r="AD32" s="413">
        <v>0</v>
      </c>
      <c r="AE32" s="413">
        <v>0</v>
      </c>
      <c r="AF32" s="413">
        <v>0</v>
      </c>
      <c r="AG32" s="413">
        <v>0</v>
      </c>
      <c r="AH32" s="413">
        <v>0</v>
      </c>
      <c r="AI32" s="413">
        <v>0</v>
      </c>
      <c r="AJ32" s="413">
        <v>0</v>
      </c>
      <c r="AK32" s="413">
        <v>0</v>
      </c>
      <c r="AL32" s="413">
        <v>0</v>
      </c>
      <c r="AM32" s="413">
        <v>0</v>
      </c>
      <c r="AN32" s="413">
        <v>0</v>
      </c>
      <c r="AO32" s="413">
        <v>0</v>
      </c>
      <c r="AP32" s="413">
        <v>0</v>
      </c>
      <c r="AQ32" s="413">
        <v>0</v>
      </c>
      <c r="AR32" s="413">
        <v>0</v>
      </c>
      <c r="AS32" s="413">
        <v>0</v>
      </c>
      <c r="AT32" s="413">
        <v>0</v>
      </c>
      <c r="AU32" s="413"/>
      <c r="AV32" s="413"/>
      <c r="AW32" s="413"/>
      <c r="AX32" s="413"/>
      <c r="AY32" s="413"/>
      <c r="AZ32" s="413"/>
      <c r="BA32" s="413"/>
      <c r="BB32" s="413"/>
      <c r="BC32" s="413"/>
      <c r="BD32" s="413"/>
      <c r="BE32" s="413"/>
      <c r="BF32" s="413"/>
      <c r="BG32" s="413"/>
      <c r="BH32" s="413"/>
      <c r="BI32" s="413"/>
      <c r="BJ32" s="413"/>
      <c r="BK32" s="413"/>
      <c r="BL32" s="413"/>
      <c r="BM32" s="413"/>
      <c r="BN32" s="413"/>
      <c r="BO32" s="413"/>
      <c r="BP32" s="413"/>
      <c r="BQ32" s="413"/>
      <c r="BR32" s="413"/>
      <c r="BS32" s="413"/>
      <c r="BT32" s="413"/>
      <c r="BU32" s="413"/>
      <c r="BV32" s="413"/>
      <c r="BW32" s="413"/>
      <c r="BX32" s="413"/>
      <c r="BY32" s="413"/>
      <c r="BZ32" s="413"/>
      <c r="CA32" s="413"/>
      <c r="CB32" s="413"/>
    </row>
    <row r="33" spans="2:80" x14ac:dyDescent="0.25">
      <c r="B33" s="412">
        <v>45</v>
      </c>
      <c r="C33" s="302" t="s">
        <v>1449</v>
      </c>
      <c r="D33" s="302">
        <v>0</v>
      </c>
      <c r="E33" s="413">
        <v>0</v>
      </c>
      <c r="F33" s="413">
        <v>0</v>
      </c>
      <c r="G33" s="413">
        <v>0</v>
      </c>
      <c r="H33" s="413">
        <v>0</v>
      </c>
      <c r="I33" s="413">
        <v>0</v>
      </c>
      <c r="J33" s="413">
        <v>0</v>
      </c>
      <c r="K33" s="413">
        <v>0</v>
      </c>
      <c r="L33" s="413">
        <v>0</v>
      </c>
      <c r="M33" s="413">
        <v>0</v>
      </c>
      <c r="N33" s="413">
        <v>0</v>
      </c>
      <c r="O33" s="413">
        <v>0</v>
      </c>
      <c r="P33" s="413">
        <v>0</v>
      </c>
      <c r="Q33" s="413">
        <v>0</v>
      </c>
      <c r="R33" s="413">
        <v>0</v>
      </c>
      <c r="S33" s="413">
        <v>0</v>
      </c>
      <c r="T33" s="413">
        <v>0</v>
      </c>
      <c r="U33" s="413">
        <v>0</v>
      </c>
      <c r="V33" s="413">
        <v>0</v>
      </c>
      <c r="W33" s="413">
        <v>0</v>
      </c>
      <c r="X33" s="413">
        <v>0</v>
      </c>
      <c r="Y33" s="413">
        <v>0</v>
      </c>
      <c r="Z33" s="413">
        <v>0</v>
      </c>
      <c r="AA33" s="413">
        <v>0</v>
      </c>
      <c r="AB33" s="413">
        <v>0</v>
      </c>
      <c r="AC33" s="413">
        <v>0</v>
      </c>
      <c r="AD33" s="413">
        <v>0</v>
      </c>
      <c r="AE33" s="413">
        <v>0</v>
      </c>
      <c r="AF33" s="413">
        <v>0</v>
      </c>
      <c r="AG33" s="413">
        <v>0</v>
      </c>
      <c r="AH33" s="413">
        <v>0</v>
      </c>
      <c r="AI33" s="413">
        <v>0</v>
      </c>
      <c r="AJ33" s="413">
        <v>0</v>
      </c>
      <c r="AK33" s="413">
        <v>0</v>
      </c>
      <c r="AL33" s="413">
        <v>0</v>
      </c>
      <c r="AM33" s="413">
        <v>0</v>
      </c>
      <c r="AN33" s="413">
        <v>0</v>
      </c>
      <c r="AO33" s="413">
        <v>0</v>
      </c>
      <c r="AP33" s="413">
        <v>0</v>
      </c>
      <c r="AQ33" s="413">
        <v>0</v>
      </c>
      <c r="AR33" s="413">
        <v>0</v>
      </c>
      <c r="AS33" s="413">
        <v>0</v>
      </c>
      <c r="AT33" s="413">
        <v>0</v>
      </c>
      <c r="AU33" s="413"/>
      <c r="AV33" s="413"/>
      <c r="AW33" s="413"/>
      <c r="AX33" s="413"/>
      <c r="AY33" s="413"/>
      <c r="AZ33" s="413"/>
      <c r="BA33" s="413"/>
      <c r="BB33" s="413"/>
      <c r="BC33" s="413"/>
      <c r="BD33" s="413"/>
      <c r="BE33" s="413"/>
      <c r="BF33" s="413"/>
      <c r="BG33" s="413"/>
      <c r="BH33" s="413"/>
      <c r="BI33" s="413"/>
      <c r="BJ33" s="413"/>
      <c r="BK33" s="413"/>
      <c r="BL33" s="413"/>
      <c r="BM33" s="413"/>
      <c r="BN33" s="413"/>
      <c r="BO33" s="413"/>
      <c r="BP33" s="413"/>
      <c r="BQ33" s="413"/>
      <c r="BR33" s="413"/>
      <c r="BS33" s="413"/>
      <c r="BT33" s="413"/>
      <c r="BU33" s="413"/>
      <c r="BV33" s="413"/>
      <c r="BW33" s="413"/>
      <c r="BX33" s="413"/>
      <c r="BY33" s="413"/>
      <c r="BZ33" s="413"/>
      <c r="CA33" s="413"/>
      <c r="CB33" s="413"/>
    </row>
    <row r="34" spans="2:80" x14ac:dyDescent="0.25">
      <c r="B34" s="412">
        <v>46</v>
      </c>
      <c r="C34" s="302" t="s">
        <v>389</v>
      </c>
      <c r="D34" s="302">
        <v>0</v>
      </c>
      <c r="E34" s="413">
        <v>0</v>
      </c>
      <c r="F34" s="413">
        <v>0</v>
      </c>
      <c r="G34" s="413">
        <v>0</v>
      </c>
      <c r="H34" s="413">
        <v>0</v>
      </c>
      <c r="I34" s="413">
        <v>0</v>
      </c>
      <c r="J34" s="413">
        <v>0</v>
      </c>
      <c r="K34" s="413">
        <v>0</v>
      </c>
      <c r="L34" s="413">
        <v>0</v>
      </c>
      <c r="M34" s="413">
        <v>0</v>
      </c>
      <c r="N34" s="413">
        <v>0</v>
      </c>
      <c r="O34" s="413">
        <v>0</v>
      </c>
      <c r="P34" s="413">
        <v>0</v>
      </c>
      <c r="Q34" s="413">
        <v>0</v>
      </c>
      <c r="R34" s="413">
        <v>0</v>
      </c>
      <c r="S34" s="413">
        <v>0</v>
      </c>
      <c r="T34" s="413">
        <v>0</v>
      </c>
      <c r="U34" s="413">
        <v>0</v>
      </c>
      <c r="V34" s="413">
        <v>0</v>
      </c>
      <c r="W34" s="413">
        <v>0</v>
      </c>
      <c r="X34" s="413">
        <v>0</v>
      </c>
      <c r="Y34" s="413">
        <v>0</v>
      </c>
      <c r="Z34" s="413">
        <v>0</v>
      </c>
      <c r="AA34" s="413">
        <v>0</v>
      </c>
      <c r="AB34" s="413">
        <v>0</v>
      </c>
      <c r="AC34" s="413">
        <v>0</v>
      </c>
      <c r="AD34" s="413">
        <v>0</v>
      </c>
      <c r="AE34" s="413">
        <v>0</v>
      </c>
      <c r="AF34" s="413">
        <v>0</v>
      </c>
      <c r="AG34" s="413">
        <v>0</v>
      </c>
      <c r="AH34" s="413">
        <v>0</v>
      </c>
      <c r="AI34" s="413">
        <v>0</v>
      </c>
      <c r="AJ34" s="413">
        <v>0</v>
      </c>
      <c r="AK34" s="413">
        <v>0</v>
      </c>
      <c r="AL34" s="413">
        <v>0</v>
      </c>
      <c r="AM34" s="413">
        <v>0</v>
      </c>
      <c r="AN34" s="413">
        <v>0</v>
      </c>
      <c r="AO34" s="413">
        <v>0</v>
      </c>
      <c r="AP34" s="413">
        <v>0</v>
      </c>
      <c r="AQ34" s="413">
        <v>0</v>
      </c>
      <c r="AR34" s="413">
        <v>0</v>
      </c>
      <c r="AS34" s="413">
        <v>0</v>
      </c>
      <c r="AT34" s="413">
        <v>0</v>
      </c>
      <c r="AU34" s="413"/>
      <c r="AV34" s="413"/>
      <c r="AW34" s="413"/>
      <c r="AX34" s="413"/>
      <c r="AY34" s="413"/>
      <c r="AZ34" s="413"/>
      <c r="BA34" s="413"/>
      <c r="BB34" s="413"/>
      <c r="BC34" s="413"/>
      <c r="BD34" s="413"/>
      <c r="BE34" s="413"/>
      <c r="BF34" s="413"/>
      <c r="BG34" s="413"/>
      <c r="BH34" s="413"/>
      <c r="BI34" s="413"/>
      <c r="BJ34" s="413"/>
      <c r="BK34" s="413"/>
      <c r="BL34" s="413"/>
      <c r="BM34" s="413"/>
      <c r="BN34" s="413"/>
      <c r="BO34" s="413"/>
      <c r="BP34" s="413"/>
      <c r="BQ34" s="413"/>
      <c r="BR34" s="413"/>
      <c r="BS34" s="413"/>
      <c r="BT34" s="413"/>
      <c r="BU34" s="413"/>
      <c r="BV34" s="413"/>
      <c r="BW34" s="413"/>
      <c r="BX34" s="413"/>
      <c r="BY34" s="413"/>
      <c r="BZ34" s="413"/>
      <c r="CA34" s="413"/>
      <c r="CB34" s="413"/>
    </row>
    <row r="35" spans="2:80" x14ac:dyDescent="0.25">
      <c r="B35" s="412">
        <v>47</v>
      </c>
      <c r="C35" s="302" t="s">
        <v>1450</v>
      </c>
      <c r="D35" s="302">
        <v>0</v>
      </c>
      <c r="E35" s="413">
        <v>0</v>
      </c>
      <c r="F35" s="413">
        <v>0</v>
      </c>
      <c r="G35" s="413">
        <v>0</v>
      </c>
      <c r="H35" s="413">
        <v>0</v>
      </c>
      <c r="I35" s="413">
        <v>0</v>
      </c>
      <c r="J35" s="413">
        <v>0</v>
      </c>
      <c r="K35" s="413">
        <v>0</v>
      </c>
      <c r="L35" s="413">
        <v>0</v>
      </c>
      <c r="M35" s="413">
        <v>0</v>
      </c>
      <c r="N35" s="413">
        <v>0</v>
      </c>
      <c r="O35" s="413">
        <v>0</v>
      </c>
      <c r="P35" s="413">
        <v>0</v>
      </c>
      <c r="Q35" s="413">
        <v>0</v>
      </c>
      <c r="R35" s="413">
        <v>0</v>
      </c>
      <c r="S35" s="413">
        <v>0</v>
      </c>
      <c r="T35" s="413">
        <v>0</v>
      </c>
      <c r="U35" s="413">
        <v>0</v>
      </c>
      <c r="V35" s="413">
        <v>0</v>
      </c>
      <c r="W35" s="413">
        <v>0</v>
      </c>
      <c r="X35" s="413">
        <v>0</v>
      </c>
      <c r="Y35" s="413">
        <v>0</v>
      </c>
      <c r="Z35" s="413">
        <v>0</v>
      </c>
      <c r="AA35" s="413">
        <v>0</v>
      </c>
      <c r="AB35" s="413">
        <v>0</v>
      </c>
      <c r="AC35" s="413">
        <v>0</v>
      </c>
      <c r="AD35" s="413">
        <v>0</v>
      </c>
      <c r="AE35" s="413">
        <v>0</v>
      </c>
      <c r="AF35" s="413">
        <v>0</v>
      </c>
      <c r="AG35" s="413">
        <v>0</v>
      </c>
      <c r="AH35" s="413">
        <v>0</v>
      </c>
      <c r="AI35" s="413">
        <v>0</v>
      </c>
      <c r="AJ35" s="413">
        <v>0</v>
      </c>
      <c r="AK35" s="413">
        <v>0</v>
      </c>
      <c r="AL35" s="413">
        <v>0</v>
      </c>
      <c r="AM35" s="413">
        <v>0</v>
      </c>
      <c r="AN35" s="413">
        <v>0</v>
      </c>
      <c r="AO35" s="413">
        <v>0</v>
      </c>
      <c r="AP35" s="413">
        <v>0</v>
      </c>
      <c r="AQ35" s="413">
        <v>0</v>
      </c>
      <c r="AR35" s="413">
        <v>0</v>
      </c>
      <c r="AS35" s="413">
        <v>0</v>
      </c>
      <c r="AT35" s="413">
        <v>0</v>
      </c>
      <c r="AU35" s="413"/>
      <c r="AV35" s="413"/>
      <c r="AW35" s="413"/>
      <c r="AX35" s="413"/>
      <c r="AY35" s="413"/>
      <c r="AZ35" s="413"/>
      <c r="BA35" s="413"/>
      <c r="BB35" s="413"/>
      <c r="BC35" s="413"/>
      <c r="BD35" s="413"/>
      <c r="BE35" s="413"/>
      <c r="BF35" s="413"/>
      <c r="BG35" s="413"/>
      <c r="BH35" s="413"/>
      <c r="BI35" s="413"/>
      <c r="BJ35" s="413"/>
      <c r="BK35" s="413"/>
      <c r="BL35" s="413"/>
      <c r="BM35" s="413"/>
      <c r="BN35" s="413"/>
      <c r="BO35" s="413"/>
      <c r="BP35" s="413"/>
      <c r="BQ35" s="413"/>
      <c r="BR35" s="413"/>
      <c r="BS35" s="413"/>
      <c r="BT35" s="413"/>
      <c r="BU35" s="413"/>
      <c r="BV35" s="413"/>
      <c r="BW35" s="413"/>
      <c r="BX35" s="413"/>
      <c r="BY35" s="413"/>
      <c r="BZ35" s="413"/>
      <c r="CA35" s="413"/>
      <c r="CB35" s="413"/>
    </row>
    <row r="36" spans="2:80" x14ac:dyDescent="0.25">
      <c r="B36" s="412">
        <v>48</v>
      </c>
      <c r="C36" s="302" t="s">
        <v>1451</v>
      </c>
      <c r="D36" s="302">
        <v>0</v>
      </c>
      <c r="E36" s="413">
        <v>0</v>
      </c>
      <c r="F36" s="413">
        <v>0</v>
      </c>
      <c r="G36" s="413">
        <v>0</v>
      </c>
      <c r="H36" s="413">
        <v>0</v>
      </c>
      <c r="I36" s="413">
        <v>0</v>
      </c>
      <c r="J36" s="413">
        <v>0</v>
      </c>
      <c r="K36" s="413">
        <v>0</v>
      </c>
      <c r="L36" s="413">
        <v>0</v>
      </c>
      <c r="M36" s="413">
        <v>0</v>
      </c>
      <c r="N36" s="413">
        <v>0</v>
      </c>
      <c r="O36" s="413">
        <v>0</v>
      </c>
      <c r="P36" s="413">
        <v>0</v>
      </c>
      <c r="Q36" s="413">
        <v>0</v>
      </c>
      <c r="R36" s="413">
        <v>0</v>
      </c>
      <c r="S36" s="413">
        <v>0</v>
      </c>
      <c r="T36" s="413">
        <v>0</v>
      </c>
      <c r="U36" s="413">
        <v>0</v>
      </c>
      <c r="V36" s="413">
        <v>0</v>
      </c>
      <c r="W36" s="413">
        <v>0</v>
      </c>
      <c r="X36" s="413">
        <v>0</v>
      </c>
      <c r="Y36" s="413">
        <v>0</v>
      </c>
      <c r="Z36" s="413">
        <v>0</v>
      </c>
      <c r="AA36" s="413">
        <v>0</v>
      </c>
      <c r="AB36" s="413">
        <v>0</v>
      </c>
      <c r="AC36" s="413">
        <v>0</v>
      </c>
      <c r="AD36" s="413">
        <v>0</v>
      </c>
      <c r="AE36" s="413">
        <v>0</v>
      </c>
      <c r="AF36" s="413">
        <v>0</v>
      </c>
      <c r="AG36" s="413">
        <v>0</v>
      </c>
      <c r="AH36" s="413">
        <v>0</v>
      </c>
      <c r="AI36" s="413">
        <v>0</v>
      </c>
      <c r="AJ36" s="413">
        <v>0</v>
      </c>
      <c r="AK36" s="413">
        <v>0</v>
      </c>
      <c r="AL36" s="413">
        <v>0</v>
      </c>
      <c r="AM36" s="413">
        <v>0</v>
      </c>
      <c r="AN36" s="413">
        <v>0</v>
      </c>
      <c r="AO36" s="413">
        <v>0</v>
      </c>
      <c r="AP36" s="413">
        <v>0</v>
      </c>
      <c r="AQ36" s="413">
        <v>0</v>
      </c>
      <c r="AR36" s="413">
        <v>0</v>
      </c>
      <c r="AS36" s="413">
        <v>0</v>
      </c>
      <c r="AT36" s="413">
        <v>0</v>
      </c>
      <c r="AU36" s="413"/>
      <c r="AV36" s="413"/>
      <c r="AW36" s="413"/>
      <c r="AX36" s="413"/>
      <c r="AY36" s="413"/>
      <c r="AZ36" s="413"/>
      <c r="BA36" s="413"/>
      <c r="BB36" s="413"/>
      <c r="BC36" s="413"/>
      <c r="BD36" s="413"/>
      <c r="BE36" s="413"/>
      <c r="BF36" s="413"/>
      <c r="BG36" s="413"/>
      <c r="BH36" s="413"/>
      <c r="BI36" s="413"/>
      <c r="BJ36" s="413"/>
      <c r="BK36" s="413"/>
      <c r="BL36" s="413"/>
      <c r="BM36" s="413"/>
      <c r="BN36" s="413"/>
      <c r="BO36" s="413"/>
      <c r="BP36" s="413"/>
      <c r="BQ36" s="413"/>
      <c r="BR36" s="413"/>
      <c r="BS36" s="413"/>
      <c r="BT36" s="413"/>
      <c r="BU36" s="413"/>
      <c r="BV36" s="413"/>
      <c r="BW36" s="413"/>
      <c r="BX36" s="413"/>
      <c r="BY36" s="413"/>
      <c r="BZ36" s="413"/>
      <c r="CA36" s="413"/>
      <c r="CB36" s="413"/>
    </row>
    <row r="37" spans="2:80" x14ac:dyDescent="0.25">
      <c r="B37" s="412">
        <v>49</v>
      </c>
      <c r="C37" s="302" t="s">
        <v>1452</v>
      </c>
      <c r="D37" s="302">
        <v>0</v>
      </c>
      <c r="E37" s="413">
        <v>0</v>
      </c>
      <c r="F37" s="413">
        <v>0</v>
      </c>
      <c r="G37" s="413">
        <v>0</v>
      </c>
      <c r="H37" s="413">
        <v>0</v>
      </c>
      <c r="I37" s="413">
        <v>0</v>
      </c>
      <c r="J37" s="413">
        <v>0</v>
      </c>
      <c r="K37" s="413">
        <v>0</v>
      </c>
      <c r="L37" s="413">
        <v>0</v>
      </c>
      <c r="M37" s="413">
        <v>0</v>
      </c>
      <c r="N37" s="413">
        <v>0</v>
      </c>
      <c r="O37" s="413">
        <v>0</v>
      </c>
      <c r="P37" s="413">
        <v>0</v>
      </c>
      <c r="Q37" s="413">
        <v>0</v>
      </c>
      <c r="R37" s="413">
        <v>0</v>
      </c>
      <c r="S37" s="413">
        <v>0</v>
      </c>
      <c r="T37" s="413">
        <v>0</v>
      </c>
      <c r="U37" s="413">
        <v>0</v>
      </c>
      <c r="V37" s="413">
        <v>0</v>
      </c>
      <c r="W37" s="413">
        <v>0</v>
      </c>
      <c r="X37" s="413">
        <v>0</v>
      </c>
      <c r="Y37" s="413">
        <v>0</v>
      </c>
      <c r="Z37" s="413">
        <v>0</v>
      </c>
      <c r="AA37" s="413">
        <v>0</v>
      </c>
      <c r="AB37" s="413">
        <v>0</v>
      </c>
      <c r="AC37" s="413">
        <v>0</v>
      </c>
      <c r="AD37" s="413">
        <v>0</v>
      </c>
      <c r="AE37" s="413">
        <v>0</v>
      </c>
      <c r="AF37" s="413">
        <v>0</v>
      </c>
      <c r="AG37" s="413">
        <v>0</v>
      </c>
      <c r="AH37" s="413">
        <v>0</v>
      </c>
      <c r="AI37" s="413">
        <v>0</v>
      </c>
      <c r="AJ37" s="413">
        <v>0</v>
      </c>
      <c r="AK37" s="413">
        <v>0</v>
      </c>
      <c r="AL37" s="413">
        <v>0</v>
      </c>
      <c r="AM37" s="413">
        <v>0</v>
      </c>
      <c r="AN37" s="413">
        <v>0</v>
      </c>
      <c r="AO37" s="413">
        <v>0</v>
      </c>
      <c r="AP37" s="413">
        <v>0</v>
      </c>
      <c r="AQ37" s="413">
        <v>0</v>
      </c>
      <c r="AR37" s="413">
        <v>0</v>
      </c>
      <c r="AS37" s="413">
        <v>0</v>
      </c>
      <c r="AT37" s="413">
        <v>0</v>
      </c>
      <c r="AU37" s="413"/>
      <c r="AV37" s="413"/>
      <c r="AW37" s="413"/>
      <c r="AX37" s="413"/>
      <c r="AY37" s="413"/>
      <c r="AZ37" s="413"/>
      <c r="BA37" s="413"/>
      <c r="BB37" s="413"/>
      <c r="BC37" s="413"/>
      <c r="BD37" s="413"/>
      <c r="BE37" s="413"/>
      <c r="BF37" s="413"/>
      <c r="BG37" s="413"/>
      <c r="BH37" s="413"/>
      <c r="BI37" s="413"/>
      <c r="BJ37" s="413"/>
      <c r="BK37" s="413"/>
      <c r="BL37" s="413"/>
      <c r="BM37" s="413"/>
      <c r="BN37" s="413"/>
      <c r="BO37" s="413"/>
      <c r="BP37" s="413"/>
      <c r="BQ37" s="413"/>
      <c r="BR37" s="413"/>
      <c r="BS37" s="413"/>
      <c r="BT37" s="413"/>
      <c r="BU37" s="413"/>
      <c r="BV37" s="413"/>
      <c r="BW37" s="413"/>
      <c r="BX37" s="413"/>
      <c r="BY37" s="413"/>
      <c r="BZ37" s="413"/>
      <c r="CA37" s="413"/>
      <c r="CB37" s="413"/>
    </row>
    <row r="38" spans="2:80" x14ac:dyDescent="0.25">
      <c r="B38" s="412">
        <v>50</v>
      </c>
      <c r="C38" s="302" t="s">
        <v>1453</v>
      </c>
      <c r="D38" s="302">
        <v>0</v>
      </c>
      <c r="E38" s="413">
        <v>0</v>
      </c>
      <c r="F38" s="413">
        <v>0</v>
      </c>
      <c r="G38" s="413">
        <v>0</v>
      </c>
      <c r="H38" s="413">
        <v>0</v>
      </c>
      <c r="I38" s="413">
        <v>0</v>
      </c>
      <c r="J38" s="413">
        <v>0</v>
      </c>
      <c r="K38" s="413">
        <v>0</v>
      </c>
      <c r="L38" s="413">
        <v>0</v>
      </c>
      <c r="M38" s="413">
        <v>0</v>
      </c>
      <c r="N38" s="413">
        <v>0</v>
      </c>
      <c r="O38" s="413">
        <v>0</v>
      </c>
      <c r="P38" s="413">
        <v>0</v>
      </c>
      <c r="Q38" s="413">
        <v>0</v>
      </c>
      <c r="R38" s="413">
        <v>0</v>
      </c>
      <c r="S38" s="413">
        <v>0</v>
      </c>
      <c r="T38" s="413">
        <v>0</v>
      </c>
      <c r="U38" s="413">
        <v>0</v>
      </c>
      <c r="V38" s="413">
        <v>0</v>
      </c>
      <c r="W38" s="413">
        <v>0</v>
      </c>
      <c r="X38" s="413">
        <v>0</v>
      </c>
      <c r="Y38" s="413">
        <v>0</v>
      </c>
      <c r="Z38" s="413">
        <v>0</v>
      </c>
      <c r="AA38" s="413">
        <v>0</v>
      </c>
      <c r="AB38" s="413">
        <v>0</v>
      </c>
      <c r="AC38" s="413">
        <v>0</v>
      </c>
      <c r="AD38" s="413">
        <v>0</v>
      </c>
      <c r="AE38" s="413">
        <v>0</v>
      </c>
      <c r="AF38" s="413">
        <v>0</v>
      </c>
      <c r="AG38" s="413">
        <v>0</v>
      </c>
      <c r="AH38" s="413">
        <v>0</v>
      </c>
      <c r="AI38" s="413">
        <v>0</v>
      </c>
      <c r="AJ38" s="413">
        <v>0</v>
      </c>
      <c r="AK38" s="413">
        <v>0</v>
      </c>
      <c r="AL38" s="413">
        <v>0</v>
      </c>
      <c r="AM38" s="413">
        <v>0</v>
      </c>
      <c r="AN38" s="413">
        <v>0</v>
      </c>
      <c r="AO38" s="413">
        <v>0</v>
      </c>
      <c r="AP38" s="413">
        <v>0</v>
      </c>
      <c r="AQ38" s="413">
        <v>0</v>
      </c>
      <c r="AR38" s="413">
        <v>0</v>
      </c>
      <c r="AS38" s="413">
        <v>0</v>
      </c>
      <c r="AT38" s="413">
        <v>0</v>
      </c>
      <c r="AU38" s="413"/>
      <c r="AV38" s="413"/>
      <c r="AW38" s="413"/>
      <c r="AX38" s="413"/>
      <c r="AY38" s="413"/>
      <c r="AZ38" s="413"/>
      <c r="BA38" s="413"/>
      <c r="BB38" s="413"/>
      <c r="BC38" s="413"/>
      <c r="BD38" s="413"/>
      <c r="BE38" s="413"/>
      <c r="BF38" s="413"/>
      <c r="BG38" s="413"/>
      <c r="BH38" s="413"/>
      <c r="BI38" s="413"/>
      <c r="BJ38" s="413"/>
      <c r="BK38" s="413"/>
      <c r="BL38" s="413"/>
      <c r="BM38" s="413"/>
      <c r="BN38" s="413"/>
      <c r="BO38" s="413"/>
      <c r="BP38" s="413"/>
      <c r="BQ38" s="413"/>
      <c r="BR38" s="413"/>
      <c r="BS38" s="413"/>
      <c r="BT38" s="413"/>
      <c r="BU38" s="413"/>
      <c r="BV38" s="413"/>
      <c r="BW38" s="413"/>
      <c r="BX38" s="413"/>
      <c r="BY38" s="413"/>
      <c r="BZ38" s="413"/>
      <c r="CA38" s="413"/>
      <c r="CB38" s="413"/>
    </row>
    <row r="39" spans="2:80" x14ac:dyDescent="0.25">
      <c r="B39" s="412">
        <v>51</v>
      </c>
      <c r="C39" s="302" t="s">
        <v>1454</v>
      </c>
      <c r="D39" s="302">
        <v>0</v>
      </c>
      <c r="E39" s="413">
        <v>0</v>
      </c>
      <c r="F39" s="413">
        <v>0</v>
      </c>
      <c r="G39" s="413">
        <v>0</v>
      </c>
      <c r="H39" s="413">
        <v>0</v>
      </c>
      <c r="I39" s="413">
        <v>0</v>
      </c>
      <c r="J39" s="413">
        <v>0</v>
      </c>
      <c r="K39" s="413">
        <v>0</v>
      </c>
      <c r="L39" s="413">
        <v>0</v>
      </c>
      <c r="M39" s="413">
        <v>0</v>
      </c>
      <c r="N39" s="413">
        <v>0</v>
      </c>
      <c r="O39" s="413">
        <v>0</v>
      </c>
      <c r="P39" s="413">
        <v>0</v>
      </c>
      <c r="Q39" s="413">
        <v>0</v>
      </c>
      <c r="R39" s="413">
        <v>0</v>
      </c>
      <c r="S39" s="413">
        <v>0</v>
      </c>
      <c r="T39" s="413">
        <v>0</v>
      </c>
      <c r="U39" s="413">
        <v>0</v>
      </c>
      <c r="V39" s="413">
        <v>0</v>
      </c>
      <c r="W39" s="413">
        <v>0</v>
      </c>
      <c r="X39" s="413">
        <v>0</v>
      </c>
      <c r="Y39" s="413">
        <v>0</v>
      </c>
      <c r="Z39" s="413">
        <v>0</v>
      </c>
      <c r="AA39" s="413">
        <v>0</v>
      </c>
      <c r="AB39" s="413">
        <v>0</v>
      </c>
      <c r="AC39" s="413">
        <v>0</v>
      </c>
      <c r="AD39" s="413">
        <v>0</v>
      </c>
      <c r="AE39" s="413">
        <v>0</v>
      </c>
      <c r="AF39" s="413">
        <v>0</v>
      </c>
      <c r="AG39" s="413">
        <v>0</v>
      </c>
      <c r="AH39" s="413">
        <v>0</v>
      </c>
      <c r="AI39" s="413">
        <v>0</v>
      </c>
      <c r="AJ39" s="413">
        <v>0</v>
      </c>
      <c r="AK39" s="413">
        <v>0</v>
      </c>
      <c r="AL39" s="413">
        <v>0</v>
      </c>
      <c r="AM39" s="413">
        <v>0</v>
      </c>
      <c r="AN39" s="413">
        <v>0</v>
      </c>
      <c r="AO39" s="413">
        <v>0</v>
      </c>
      <c r="AP39" s="413">
        <v>0</v>
      </c>
      <c r="AQ39" s="413">
        <v>0</v>
      </c>
      <c r="AR39" s="413">
        <v>0</v>
      </c>
      <c r="AS39" s="413">
        <v>0</v>
      </c>
      <c r="AT39" s="413">
        <v>0</v>
      </c>
      <c r="AU39" s="413"/>
      <c r="AV39" s="413"/>
      <c r="AW39" s="413"/>
      <c r="AX39" s="413"/>
      <c r="AY39" s="413"/>
      <c r="AZ39" s="413"/>
      <c r="BA39" s="413"/>
      <c r="BB39" s="413"/>
      <c r="BC39" s="413"/>
      <c r="BD39" s="413"/>
      <c r="BE39" s="413"/>
      <c r="BF39" s="413"/>
      <c r="BG39" s="413"/>
      <c r="BH39" s="413"/>
      <c r="BI39" s="413"/>
      <c r="BJ39" s="413"/>
      <c r="BK39" s="413"/>
      <c r="BL39" s="413"/>
      <c r="BM39" s="413"/>
      <c r="BN39" s="413"/>
      <c r="BO39" s="413"/>
      <c r="BP39" s="413"/>
      <c r="BQ39" s="413"/>
      <c r="BR39" s="413"/>
      <c r="BS39" s="413"/>
      <c r="BT39" s="413"/>
      <c r="BU39" s="413"/>
      <c r="BV39" s="413"/>
      <c r="BW39" s="413"/>
      <c r="BX39" s="413"/>
      <c r="BY39" s="413"/>
      <c r="BZ39" s="413"/>
      <c r="CA39" s="413"/>
      <c r="CB39" s="413"/>
    </row>
    <row r="40" spans="2:80" x14ac:dyDescent="0.25">
      <c r="B40" s="412">
        <v>52</v>
      </c>
      <c r="C40" s="302" t="s">
        <v>1455</v>
      </c>
      <c r="D40" s="302">
        <v>0</v>
      </c>
      <c r="E40" s="413">
        <v>0</v>
      </c>
      <c r="F40" s="413">
        <v>0</v>
      </c>
      <c r="G40" s="413">
        <v>0</v>
      </c>
      <c r="H40" s="413">
        <v>0</v>
      </c>
      <c r="I40" s="413">
        <v>0</v>
      </c>
      <c r="J40" s="413">
        <v>0</v>
      </c>
      <c r="K40" s="413">
        <v>0</v>
      </c>
      <c r="L40" s="413">
        <v>0</v>
      </c>
      <c r="M40" s="413">
        <v>0</v>
      </c>
      <c r="N40" s="413">
        <v>0</v>
      </c>
      <c r="O40" s="413">
        <v>0</v>
      </c>
      <c r="P40" s="413">
        <v>0</v>
      </c>
      <c r="Q40" s="413">
        <v>0</v>
      </c>
      <c r="R40" s="413">
        <v>0</v>
      </c>
      <c r="S40" s="413">
        <v>0</v>
      </c>
      <c r="T40" s="413">
        <v>0</v>
      </c>
      <c r="U40" s="413">
        <v>0</v>
      </c>
      <c r="V40" s="413">
        <v>0</v>
      </c>
      <c r="W40" s="413">
        <v>0</v>
      </c>
      <c r="X40" s="413">
        <v>0</v>
      </c>
      <c r="Y40" s="413">
        <v>0</v>
      </c>
      <c r="Z40" s="413">
        <v>0</v>
      </c>
      <c r="AA40" s="413">
        <v>0</v>
      </c>
      <c r="AB40" s="413">
        <v>0</v>
      </c>
      <c r="AC40" s="413">
        <v>0</v>
      </c>
      <c r="AD40" s="413">
        <v>0</v>
      </c>
      <c r="AE40" s="413">
        <v>0</v>
      </c>
      <c r="AF40" s="413">
        <v>0</v>
      </c>
      <c r="AG40" s="413">
        <v>0</v>
      </c>
      <c r="AH40" s="413">
        <v>0</v>
      </c>
      <c r="AI40" s="413">
        <v>0</v>
      </c>
      <c r="AJ40" s="413">
        <v>0</v>
      </c>
      <c r="AK40" s="413">
        <v>0</v>
      </c>
      <c r="AL40" s="413">
        <v>0</v>
      </c>
      <c r="AM40" s="413">
        <v>0</v>
      </c>
      <c r="AN40" s="413">
        <v>0</v>
      </c>
      <c r="AO40" s="413">
        <v>0</v>
      </c>
      <c r="AP40" s="413">
        <v>0</v>
      </c>
      <c r="AQ40" s="413">
        <v>0</v>
      </c>
      <c r="AR40" s="413">
        <v>0</v>
      </c>
      <c r="AS40" s="413">
        <v>0</v>
      </c>
      <c r="AT40" s="413">
        <v>0</v>
      </c>
      <c r="AU40" s="413"/>
      <c r="AV40" s="413"/>
      <c r="AW40" s="413"/>
      <c r="AX40" s="413"/>
      <c r="AY40" s="413"/>
      <c r="AZ40" s="413"/>
      <c r="BA40" s="413"/>
      <c r="BB40" s="413"/>
      <c r="BC40" s="413"/>
      <c r="BD40" s="413"/>
      <c r="BE40" s="413"/>
      <c r="BF40" s="413"/>
      <c r="BG40" s="413"/>
      <c r="BH40" s="413"/>
      <c r="BI40" s="413"/>
      <c r="BJ40" s="413"/>
      <c r="BK40" s="413"/>
      <c r="BL40" s="413"/>
      <c r="BM40" s="413"/>
      <c r="BN40" s="413"/>
      <c r="BO40" s="413"/>
      <c r="BP40" s="413"/>
      <c r="BQ40" s="413"/>
      <c r="BR40" s="413"/>
      <c r="BS40" s="413"/>
      <c r="BT40" s="413"/>
      <c r="BU40" s="413"/>
      <c r="BV40" s="413"/>
      <c r="BW40" s="413"/>
      <c r="BX40" s="413"/>
      <c r="BY40" s="413"/>
      <c r="BZ40" s="413"/>
      <c r="CA40" s="413"/>
      <c r="CB40" s="413"/>
    </row>
    <row r="41" spans="2:80" x14ac:dyDescent="0.25">
      <c r="B41" s="412">
        <v>53</v>
      </c>
      <c r="C41" s="302" t="s">
        <v>1456</v>
      </c>
      <c r="D41" s="302">
        <v>0</v>
      </c>
      <c r="E41" s="413">
        <v>0</v>
      </c>
      <c r="F41" s="413">
        <v>0</v>
      </c>
      <c r="G41" s="413">
        <v>0</v>
      </c>
      <c r="H41" s="413">
        <v>0</v>
      </c>
      <c r="I41" s="413">
        <v>0</v>
      </c>
      <c r="J41" s="413">
        <v>0</v>
      </c>
      <c r="K41" s="413">
        <v>0</v>
      </c>
      <c r="L41" s="413">
        <v>0</v>
      </c>
      <c r="M41" s="413">
        <v>0</v>
      </c>
      <c r="N41" s="413">
        <v>0</v>
      </c>
      <c r="O41" s="413">
        <v>0</v>
      </c>
      <c r="P41" s="413">
        <v>0</v>
      </c>
      <c r="Q41" s="413">
        <v>0</v>
      </c>
      <c r="R41" s="413">
        <v>0</v>
      </c>
      <c r="S41" s="413">
        <v>0</v>
      </c>
      <c r="T41" s="413">
        <v>0</v>
      </c>
      <c r="U41" s="413">
        <v>0</v>
      </c>
      <c r="V41" s="413">
        <v>0</v>
      </c>
      <c r="W41" s="413">
        <v>0</v>
      </c>
      <c r="X41" s="413">
        <v>0</v>
      </c>
      <c r="Y41" s="413">
        <v>0</v>
      </c>
      <c r="Z41" s="413">
        <v>0</v>
      </c>
      <c r="AA41" s="413">
        <v>0</v>
      </c>
      <c r="AB41" s="413">
        <v>0</v>
      </c>
      <c r="AC41" s="413">
        <v>0</v>
      </c>
      <c r="AD41" s="413">
        <v>0</v>
      </c>
      <c r="AE41" s="413">
        <v>0</v>
      </c>
      <c r="AF41" s="413">
        <v>0</v>
      </c>
      <c r="AG41" s="413">
        <v>0</v>
      </c>
      <c r="AH41" s="413">
        <v>0</v>
      </c>
      <c r="AI41" s="413">
        <v>0</v>
      </c>
      <c r="AJ41" s="413">
        <v>0</v>
      </c>
      <c r="AK41" s="413">
        <v>0</v>
      </c>
      <c r="AL41" s="413">
        <v>0</v>
      </c>
      <c r="AM41" s="413">
        <v>0</v>
      </c>
      <c r="AN41" s="413">
        <v>0</v>
      </c>
      <c r="AO41" s="413">
        <v>0</v>
      </c>
      <c r="AP41" s="413">
        <v>0</v>
      </c>
      <c r="AQ41" s="413">
        <v>0</v>
      </c>
      <c r="AR41" s="413">
        <v>0</v>
      </c>
      <c r="AS41" s="413">
        <v>0</v>
      </c>
      <c r="AT41" s="413">
        <v>0</v>
      </c>
      <c r="AU41" s="413"/>
      <c r="AV41" s="413"/>
      <c r="AW41" s="413"/>
      <c r="AX41" s="413"/>
      <c r="AY41" s="413"/>
      <c r="AZ41" s="413"/>
      <c r="BA41" s="413"/>
      <c r="BB41" s="413"/>
      <c r="BC41" s="413"/>
      <c r="BD41" s="413"/>
      <c r="BE41" s="413"/>
      <c r="BF41" s="413"/>
      <c r="BG41" s="413"/>
      <c r="BH41" s="413"/>
      <c r="BI41" s="413"/>
      <c r="BJ41" s="413"/>
      <c r="BK41" s="413"/>
      <c r="BL41" s="413"/>
      <c r="BM41" s="413"/>
      <c r="BN41" s="413"/>
      <c r="BO41" s="413"/>
      <c r="BP41" s="413"/>
      <c r="BQ41" s="413"/>
      <c r="BR41" s="413"/>
      <c r="BS41" s="413"/>
      <c r="BT41" s="413"/>
      <c r="BU41" s="413"/>
      <c r="BV41" s="413"/>
      <c r="BW41" s="413"/>
      <c r="BX41" s="413"/>
      <c r="BY41" s="413"/>
      <c r="BZ41" s="413"/>
      <c r="CA41" s="413"/>
      <c r="CB41" s="413"/>
    </row>
    <row r="42" spans="2:80" x14ac:dyDescent="0.25">
      <c r="B42" s="412">
        <v>54</v>
      </c>
      <c r="C42" s="302" t="s">
        <v>390</v>
      </c>
      <c r="D42" s="302">
        <v>0</v>
      </c>
      <c r="E42" s="413">
        <v>0</v>
      </c>
      <c r="F42" s="413">
        <v>0</v>
      </c>
      <c r="G42" s="413">
        <v>0</v>
      </c>
      <c r="H42" s="413">
        <v>0</v>
      </c>
      <c r="I42" s="413">
        <v>0</v>
      </c>
      <c r="J42" s="413">
        <v>0</v>
      </c>
      <c r="K42" s="413">
        <v>0</v>
      </c>
      <c r="L42" s="413">
        <v>0</v>
      </c>
      <c r="M42" s="413">
        <v>0</v>
      </c>
      <c r="N42" s="413">
        <v>0</v>
      </c>
      <c r="O42" s="413">
        <v>0</v>
      </c>
      <c r="P42" s="413">
        <v>0</v>
      </c>
      <c r="Q42" s="413">
        <v>0</v>
      </c>
      <c r="R42" s="413">
        <v>0</v>
      </c>
      <c r="S42" s="413">
        <v>0</v>
      </c>
      <c r="T42" s="413">
        <v>0</v>
      </c>
      <c r="U42" s="413">
        <v>0</v>
      </c>
      <c r="V42" s="413">
        <v>0</v>
      </c>
      <c r="W42" s="413">
        <v>0</v>
      </c>
      <c r="X42" s="413">
        <v>0</v>
      </c>
      <c r="Y42" s="413">
        <v>0</v>
      </c>
      <c r="Z42" s="413">
        <v>0</v>
      </c>
      <c r="AA42" s="413">
        <v>0</v>
      </c>
      <c r="AB42" s="413">
        <v>0</v>
      </c>
      <c r="AC42" s="413">
        <v>0</v>
      </c>
      <c r="AD42" s="413">
        <v>0</v>
      </c>
      <c r="AE42" s="413">
        <v>0</v>
      </c>
      <c r="AF42" s="413">
        <v>0</v>
      </c>
      <c r="AG42" s="413">
        <v>0</v>
      </c>
      <c r="AH42" s="413">
        <v>0</v>
      </c>
      <c r="AI42" s="413">
        <v>0</v>
      </c>
      <c r="AJ42" s="413">
        <v>0</v>
      </c>
      <c r="AK42" s="413">
        <v>0</v>
      </c>
      <c r="AL42" s="413">
        <v>0</v>
      </c>
      <c r="AM42" s="413">
        <v>0</v>
      </c>
      <c r="AN42" s="413">
        <v>0</v>
      </c>
      <c r="AO42" s="413">
        <v>0</v>
      </c>
      <c r="AP42" s="413">
        <v>0</v>
      </c>
      <c r="AQ42" s="413">
        <v>0</v>
      </c>
      <c r="AR42" s="413">
        <v>0</v>
      </c>
      <c r="AS42" s="413">
        <v>0</v>
      </c>
      <c r="AT42" s="413">
        <v>0</v>
      </c>
      <c r="AU42" s="413"/>
      <c r="AV42" s="413"/>
      <c r="AW42" s="413"/>
      <c r="AX42" s="413"/>
      <c r="AY42" s="413"/>
      <c r="AZ42" s="413"/>
      <c r="BA42" s="413"/>
      <c r="BB42" s="413"/>
      <c r="BC42" s="413"/>
      <c r="BD42" s="413"/>
      <c r="BE42" s="413"/>
      <c r="BF42" s="413"/>
      <c r="BG42" s="413"/>
      <c r="BH42" s="413"/>
      <c r="BI42" s="413"/>
      <c r="BJ42" s="413"/>
      <c r="BK42" s="413"/>
      <c r="BL42" s="413"/>
      <c r="BM42" s="413"/>
      <c r="BN42" s="413"/>
      <c r="BO42" s="413"/>
      <c r="BP42" s="413"/>
      <c r="BQ42" s="413"/>
      <c r="BR42" s="413"/>
      <c r="BS42" s="413"/>
      <c r="BT42" s="413"/>
      <c r="BU42" s="413"/>
      <c r="BV42" s="413"/>
      <c r="BW42" s="413"/>
      <c r="BX42" s="413"/>
      <c r="BY42" s="413"/>
      <c r="BZ42" s="413"/>
      <c r="CA42" s="413"/>
      <c r="CB42" s="413"/>
    </row>
    <row r="43" spans="2:80" x14ac:dyDescent="0.25">
      <c r="B43" s="412">
        <v>55</v>
      </c>
      <c r="C43" s="302" t="s">
        <v>1457</v>
      </c>
      <c r="D43" s="302">
        <v>0</v>
      </c>
      <c r="E43" s="414">
        <v>0</v>
      </c>
      <c r="F43" s="414">
        <v>0</v>
      </c>
      <c r="G43" s="414">
        <v>0</v>
      </c>
      <c r="H43" s="414">
        <v>0</v>
      </c>
      <c r="I43" s="414">
        <v>0</v>
      </c>
      <c r="J43" s="414">
        <v>0</v>
      </c>
      <c r="K43" s="414">
        <v>0</v>
      </c>
      <c r="L43" s="414">
        <v>0</v>
      </c>
      <c r="M43" s="414">
        <v>0</v>
      </c>
      <c r="N43" s="414">
        <v>0</v>
      </c>
      <c r="O43" s="414">
        <v>0</v>
      </c>
      <c r="P43" s="414">
        <v>0</v>
      </c>
      <c r="Q43" s="414">
        <v>0</v>
      </c>
      <c r="R43" s="414">
        <v>0</v>
      </c>
      <c r="S43" s="414">
        <v>0</v>
      </c>
      <c r="T43" s="414">
        <v>0</v>
      </c>
      <c r="U43" s="414">
        <v>0</v>
      </c>
      <c r="V43" s="414">
        <v>0</v>
      </c>
      <c r="W43" s="414">
        <v>0</v>
      </c>
      <c r="X43" s="414">
        <v>0</v>
      </c>
      <c r="Y43" s="414">
        <v>0</v>
      </c>
      <c r="Z43" s="414">
        <v>0</v>
      </c>
      <c r="AA43" s="414">
        <v>0</v>
      </c>
      <c r="AB43" s="414">
        <v>0</v>
      </c>
      <c r="AC43" s="414">
        <v>0</v>
      </c>
      <c r="AD43" s="414">
        <v>0</v>
      </c>
      <c r="AE43" s="414">
        <v>0</v>
      </c>
      <c r="AF43" s="414">
        <v>0</v>
      </c>
      <c r="AG43" s="414">
        <v>0</v>
      </c>
      <c r="AH43" s="414">
        <v>0</v>
      </c>
      <c r="AI43" s="414">
        <v>0</v>
      </c>
      <c r="AJ43" s="414">
        <v>0</v>
      </c>
      <c r="AK43" s="414">
        <v>0</v>
      </c>
      <c r="AL43" s="414">
        <v>0</v>
      </c>
      <c r="AM43" s="414">
        <v>0</v>
      </c>
      <c r="AN43" s="414">
        <v>0</v>
      </c>
      <c r="AO43" s="414">
        <v>0</v>
      </c>
      <c r="AP43" s="414">
        <v>0</v>
      </c>
      <c r="AQ43" s="414">
        <v>0</v>
      </c>
      <c r="AR43" s="414">
        <v>0</v>
      </c>
      <c r="AS43" s="414">
        <v>0</v>
      </c>
      <c r="AT43" s="414">
        <v>0</v>
      </c>
      <c r="AU43" s="414"/>
      <c r="AV43" s="414"/>
      <c r="AW43" s="414"/>
      <c r="AX43" s="414"/>
      <c r="AY43" s="414"/>
      <c r="AZ43" s="414"/>
      <c r="BA43" s="414"/>
      <c r="BB43" s="414"/>
      <c r="BC43" s="414"/>
      <c r="BD43" s="414"/>
      <c r="BE43" s="414"/>
      <c r="BF43" s="414"/>
      <c r="BG43" s="414"/>
      <c r="BH43" s="414"/>
      <c r="BI43" s="414"/>
      <c r="BJ43" s="414"/>
      <c r="BK43" s="414"/>
      <c r="BL43" s="414"/>
      <c r="BM43" s="414"/>
      <c r="BN43" s="414"/>
      <c r="BO43" s="414"/>
      <c r="BP43" s="414"/>
      <c r="BQ43" s="414"/>
      <c r="BR43" s="414"/>
      <c r="BS43" s="414"/>
      <c r="BT43" s="414"/>
      <c r="BU43" s="414"/>
      <c r="BV43" s="414"/>
      <c r="BW43" s="414"/>
      <c r="BX43" s="414"/>
      <c r="BY43" s="414"/>
      <c r="BZ43" s="414"/>
      <c r="CA43" s="414"/>
      <c r="CB43" s="414"/>
    </row>
    <row r="44" spans="2:80" x14ac:dyDescent="0.25">
      <c r="B44" s="412">
        <v>61</v>
      </c>
      <c r="C44" s="302" t="s">
        <v>1458</v>
      </c>
      <c r="D44" s="302">
        <v>0</v>
      </c>
      <c r="E44" s="413">
        <v>0</v>
      </c>
      <c r="F44" s="413">
        <v>0</v>
      </c>
      <c r="G44" s="413">
        <v>0</v>
      </c>
      <c r="H44" s="413">
        <v>0</v>
      </c>
      <c r="I44" s="413">
        <v>0</v>
      </c>
      <c r="J44" s="413">
        <v>0</v>
      </c>
      <c r="K44" s="413">
        <v>0</v>
      </c>
      <c r="L44" s="413">
        <v>0</v>
      </c>
      <c r="M44" s="413">
        <v>0</v>
      </c>
      <c r="N44" s="413">
        <v>0</v>
      </c>
      <c r="O44" s="413">
        <v>0</v>
      </c>
      <c r="P44" s="413">
        <v>0</v>
      </c>
      <c r="Q44" s="413">
        <v>0</v>
      </c>
      <c r="R44" s="413">
        <v>0</v>
      </c>
      <c r="S44" s="413">
        <v>0</v>
      </c>
      <c r="T44" s="413">
        <v>0</v>
      </c>
      <c r="U44" s="413">
        <v>0</v>
      </c>
      <c r="V44" s="413">
        <v>0</v>
      </c>
      <c r="W44" s="413">
        <v>0</v>
      </c>
      <c r="X44" s="413">
        <v>0</v>
      </c>
      <c r="Y44" s="413">
        <v>0</v>
      </c>
      <c r="Z44" s="413">
        <v>0</v>
      </c>
      <c r="AA44" s="413">
        <v>0</v>
      </c>
      <c r="AB44" s="413">
        <v>0</v>
      </c>
      <c r="AC44" s="413">
        <v>0</v>
      </c>
      <c r="AD44" s="413">
        <v>0</v>
      </c>
      <c r="AE44" s="413">
        <v>0</v>
      </c>
      <c r="AF44" s="413">
        <v>0</v>
      </c>
      <c r="AG44" s="413">
        <v>0</v>
      </c>
      <c r="AH44" s="413">
        <v>0</v>
      </c>
      <c r="AI44" s="413">
        <v>0</v>
      </c>
      <c r="AJ44" s="413">
        <v>0</v>
      </c>
      <c r="AK44" s="413">
        <v>0</v>
      </c>
      <c r="AL44" s="413">
        <v>0</v>
      </c>
      <c r="AM44" s="413">
        <v>0</v>
      </c>
      <c r="AN44" s="413">
        <v>0</v>
      </c>
      <c r="AO44" s="413">
        <v>0</v>
      </c>
      <c r="AP44" s="413">
        <v>0</v>
      </c>
      <c r="AQ44" s="413">
        <v>0</v>
      </c>
      <c r="AR44" s="413">
        <v>0</v>
      </c>
      <c r="AS44" s="413">
        <v>0</v>
      </c>
      <c r="AT44" s="413">
        <v>0</v>
      </c>
      <c r="AU44" s="413"/>
      <c r="AV44" s="413"/>
      <c r="AW44" s="413"/>
      <c r="AX44" s="413"/>
      <c r="AY44" s="413"/>
      <c r="AZ44" s="413"/>
      <c r="BA44" s="413"/>
      <c r="BB44" s="413"/>
      <c r="BC44" s="413"/>
      <c r="BD44" s="413"/>
      <c r="BE44" s="413"/>
      <c r="BF44" s="413"/>
      <c r="BG44" s="413"/>
      <c r="BH44" s="413"/>
      <c r="BI44" s="413"/>
      <c r="BJ44" s="413"/>
      <c r="BK44" s="413"/>
      <c r="BL44" s="413"/>
      <c r="BM44" s="413"/>
      <c r="BN44" s="413"/>
      <c r="BO44" s="413"/>
      <c r="BP44" s="413"/>
      <c r="BQ44" s="413"/>
      <c r="BR44" s="413"/>
      <c r="BS44" s="413"/>
      <c r="BT44" s="413"/>
      <c r="BU44" s="413"/>
      <c r="BV44" s="413"/>
      <c r="BW44" s="413"/>
      <c r="BX44" s="413"/>
      <c r="BY44" s="413"/>
      <c r="BZ44" s="413"/>
      <c r="CA44" s="413"/>
      <c r="CB44" s="413"/>
    </row>
    <row r="45" spans="2:80" x14ac:dyDescent="0.25">
      <c r="B45" s="412">
        <v>80</v>
      </c>
      <c r="C45" s="302" t="s">
        <v>1459</v>
      </c>
      <c r="D45" s="302">
        <v>0</v>
      </c>
      <c r="E45" s="413">
        <v>0</v>
      </c>
      <c r="F45" s="413">
        <v>0</v>
      </c>
      <c r="G45" s="413">
        <v>0</v>
      </c>
      <c r="H45" s="413">
        <v>0</v>
      </c>
      <c r="I45" s="413">
        <v>0</v>
      </c>
      <c r="J45" s="413">
        <v>0</v>
      </c>
      <c r="K45" s="413">
        <v>0</v>
      </c>
      <c r="L45" s="413">
        <v>0</v>
      </c>
      <c r="M45" s="413">
        <v>0</v>
      </c>
      <c r="N45" s="413">
        <v>0</v>
      </c>
      <c r="O45" s="413">
        <v>0</v>
      </c>
      <c r="P45" s="413">
        <v>0</v>
      </c>
      <c r="Q45" s="413">
        <v>0</v>
      </c>
      <c r="R45" s="413">
        <v>0</v>
      </c>
      <c r="S45" s="413">
        <v>0</v>
      </c>
      <c r="T45" s="413">
        <v>0</v>
      </c>
      <c r="U45" s="413">
        <v>0</v>
      </c>
      <c r="V45" s="413">
        <v>0</v>
      </c>
      <c r="W45" s="413">
        <v>0</v>
      </c>
      <c r="X45" s="413">
        <v>0</v>
      </c>
      <c r="Y45" s="413">
        <v>0</v>
      </c>
      <c r="Z45" s="413">
        <v>0</v>
      </c>
      <c r="AA45" s="413">
        <v>0</v>
      </c>
      <c r="AB45" s="413">
        <v>0</v>
      </c>
      <c r="AC45" s="413">
        <v>0</v>
      </c>
      <c r="AD45" s="413">
        <v>0</v>
      </c>
      <c r="AE45" s="413">
        <v>0</v>
      </c>
      <c r="AF45" s="413">
        <v>0</v>
      </c>
      <c r="AG45" s="413">
        <v>0</v>
      </c>
      <c r="AH45" s="413">
        <v>0</v>
      </c>
      <c r="AI45" s="413">
        <v>0</v>
      </c>
      <c r="AJ45" s="413">
        <v>0</v>
      </c>
      <c r="AK45" s="413">
        <v>0</v>
      </c>
      <c r="AL45" s="413">
        <v>0</v>
      </c>
      <c r="AM45" s="413">
        <v>0</v>
      </c>
      <c r="AN45" s="413">
        <v>0</v>
      </c>
      <c r="AO45" s="413">
        <v>0</v>
      </c>
      <c r="AP45" s="413">
        <v>0</v>
      </c>
      <c r="AQ45" s="413">
        <v>0</v>
      </c>
      <c r="AR45" s="413">
        <v>0</v>
      </c>
      <c r="AS45" s="413">
        <v>0</v>
      </c>
      <c r="AT45" s="413">
        <v>0</v>
      </c>
      <c r="AU45" s="413"/>
      <c r="AV45" s="413"/>
      <c r="AW45" s="413"/>
      <c r="AX45" s="413"/>
      <c r="AY45" s="413"/>
      <c r="AZ45" s="413"/>
      <c r="BA45" s="413"/>
      <c r="BB45" s="413"/>
      <c r="BC45" s="413"/>
      <c r="BD45" s="413"/>
      <c r="BE45" s="413"/>
      <c r="BF45" s="413"/>
      <c r="BG45" s="413"/>
      <c r="BH45" s="413"/>
      <c r="BI45" s="413"/>
      <c r="BJ45" s="413"/>
      <c r="BK45" s="413"/>
      <c r="BL45" s="413"/>
      <c r="BM45" s="413"/>
      <c r="BN45" s="413"/>
      <c r="BO45" s="413"/>
      <c r="BP45" s="413"/>
      <c r="BQ45" s="413"/>
      <c r="BR45" s="413"/>
      <c r="BS45" s="413"/>
      <c r="BT45" s="413"/>
      <c r="BU45" s="413"/>
      <c r="BV45" s="413"/>
      <c r="BW45" s="413"/>
      <c r="BX45" s="413"/>
      <c r="BY45" s="413"/>
      <c r="BZ45" s="413"/>
      <c r="CA45" s="413"/>
      <c r="CB45" s="413"/>
    </row>
    <row r="46" spans="2:80" x14ac:dyDescent="0.25">
      <c r="B46" s="412">
        <v>81</v>
      </c>
      <c r="C46" s="302" t="s">
        <v>1460</v>
      </c>
      <c r="D46" s="302">
        <v>0</v>
      </c>
      <c r="E46" s="413">
        <v>0</v>
      </c>
      <c r="F46" s="413">
        <v>0</v>
      </c>
      <c r="G46" s="413">
        <v>0</v>
      </c>
      <c r="H46" s="413">
        <v>0</v>
      </c>
      <c r="I46" s="413">
        <v>0</v>
      </c>
      <c r="J46" s="413">
        <v>0</v>
      </c>
      <c r="K46" s="413">
        <v>0</v>
      </c>
      <c r="L46" s="413">
        <v>0</v>
      </c>
      <c r="M46" s="413">
        <v>0</v>
      </c>
      <c r="N46" s="413">
        <v>0</v>
      </c>
      <c r="O46" s="413">
        <v>0</v>
      </c>
      <c r="P46" s="413">
        <v>0</v>
      </c>
      <c r="Q46" s="413">
        <v>0</v>
      </c>
      <c r="R46" s="413">
        <v>0</v>
      </c>
      <c r="S46" s="413">
        <v>0</v>
      </c>
      <c r="T46" s="413">
        <v>0</v>
      </c>
      <c r="U46" s="413">
        <v>0</v>
      </c>
      <c r="V46" s="413">
        <v>0</v>
      </c>
      <c r="W46" s="413">
        <v>0</v>
      </c>
      <c r="X46" s="413">
        <v>0</v>
      </c>
      <c r="Y46" s="413">
        <v>0</v>
      </c>
      <c r="Z46" s="413">
        <v>0</v>
      </c>
      <c r="AA46" s="413">
        <v>0</v>
      </c>
      <c r="AB46" s="413">
        <v>0</v>
      </c>
      <c r="AC46" s="413">
        <v>0</v>
      </c>
      <c r="AD46" s="413">
        <v>0</v>
      </c>
      <c r="AE46" s="413">
        <v>0</v>
      </c>
      <c r="AF46" s="413">
        <v>0</v>
      </c>
      <c r="AG46" s="413">
        <v>0</v>
      </c>
      <c r="AH46" s="413">
        <v>0</v>
      </c>
      <c r="AI46" s="413">
        <v>0</v>
      </c>
      <c r="AJ46" s="413">
        <v>0</v>
      </c>
      <c r="AK46" s="413">
        <v>0</v>
      </c>
      <c r="AL46" s="413">
        <v>0</v>
      </c>
      <c r="AM46" s="413">
        <v>0</v>
      </c>
      <c r="AN46" s="413">
        <v>0</v>
      </c>
      <c r="AO46" s="413">
        <v>0</v>
      </c>
      <c r="AP46" s="413">
        <v>0</v>
      </c>
      <c r="AQ46" s="413">
        <v>0</v>
      </c>
      <c r="AR46" s="413">
        <v>0</v>
      </c>
      <c r="AS46" s="413">
        <v>0</v>
      </c>
      <c r="AT46" s="413">
        <v>0</v>
      </c>
      <c r="AU46" s="413"/>
      <c r="AV46" s="413"/>
      <c r="AW46" s="413"/>
      <c r="AX46" s="413"/>
      <c r="AY46" s="413"/>
      <c r="AZ46" s="413"/>
      <c r="BA46" s="413"/>
      <c r="BB46" s="413"/>
      <c r="BC46" s="413"/>
      <c r="BD46" s="413"/>
      <c r="BE46" s="413"/>
      <c r="BF46" s="413"/>
      <c r="BG46" s="413"/>
      <c r="BH46" s="413"/>
      <c r="BI46" s="413"/>
      <c r="BJ46" s="413"/>
      <c r="BK46" s="413"/>
      <c r="BL46" s="413"/>
      <c r="BM46" s="413"/>
      <c r="BN46" s="413"/>
      <c r="BO46" s="413"/>
      <c r="BP46" s="413"/>
      <c r="BQ46" s="413"/>
      <c r="BR46" s="413"/>
      <c r="BS46" s="413"/>
      <c r="BT46" s="413"/>
      <c r="BU46" s="413"/>
      <c r="BV46" s="413"/>
      <c r="BW46" s="413"/>
      <c r="BX46" s="413"/>
      <c r="BY46" s="413"/>
      <c r="BZ46" s="413"/>
      <c r="CA46" s="413"/>
      <c r="CB46" s="413"/>
    </row>
    <row r="47" spans="2:80" x14ac:dyDescent="0.25">
      <c r="B47" s="412">
        <v>82</v>
      </c>
      <c r="C47" s="302" t="s">
        <v>1461</v>
      </c>
      <c r="D47" s="302">
        <v>0</v>
      </c>
      <c r="E47" s="413">
        <v>0</v>
      </c>
      <c r="F47" s="413">
        <v>0</v>
      </c>
      <c r="G47" s="413">
        <v>0</v>
      </c>
      <c r="H47" s="413">
        <v>0</v>
      </c>
      <c r="I47" s="413">
        <v>0</v>
      </c>
      <c r="J47" s="413">
        <v>0</v>
      </c>
      <c r="K47" s="413">
        <v>0</v>
      </c>
      <c r="L47" s="413">
        <v>0</v>
      </c>
      <c r="M47" s="413">
        <v>0</v>
      </c>
      <c r="N47" s="413">
        <v>0</v>
      </c>
      <c r="O47" s="413">
        <v>0</v>
      </c>
      <c r="P47" s="413">
        <v>0</v>
      </c>
      <c r="Q47" s="413">
        <v>0</v>
      </c>
      <c r="R47" s="413">
        <v>0</v>
      </c>
      <c r="S47" s="413">
        <v>0</v>
      </c>
      <c r="T47" s="413">
        <v>0</v>
      </c>
      <c r="U47" s="413">
        <v>0</v>
      </c>
      <c r="V47" s="413">
        <v>0</v>
      </c>
      <c r="W47" s="413">
        <v>0</v>
      </c>
      <c r="X47" s="413">
        <v>0</v>
      </c>
      <c r="Y47" s="413">
        <v>0</v>
      </c>
      <c r="Z47" s="413">
        <v>0</v>
      </c>
      <c r="AA47" s="413">
        <v>0</v>
      </c>
      <c r="AB47" s="413">
        <v>0</v>
      </c>
      <c r="AC47" s="413">
        <v>0</v>
      </c>
      <c r="AD47" s="413">
        <v>0</v>
      </c>
      <c r="AE47" s="413">
        <v>0</v>
      </c>
      <c r="AF47" s="413">
        <v>0</v>
      </c>
      <c r="AG47" s="413">
        <v>0</v>
      </c>
      <c r="AH47" s="413">
        <v>0</v>
      </c>
      <c r="AI47" s="413">
        <v>0</v>
      </c>
      <c r="AJ47" s="413">
        <v>0</v>
      </c>
      <c r="AK47" s="413">
        <v>0</v>
      </c>
      <c r="AL47" s="413">
        <v>0</v>
      </c>
      <c r="AM47" s="413">
        <v>0</v>
      </c>
      <c r="AN47" s="413">
        <v>0</v>
      </c>
      <c r="AO47" s="413">
        <v>0</v>
      </c>
      <c r="AP47" s="413">
        <v>0</v>
      </c>
      <c r="AQ47" s="413">
        <v>0</v>
      </c>
      <c r="AR47" s="413">
        <v>0</v>
      </c>
      <c r="AS47" s="413">
        <v>0</v>
      </c>
      <c r="AT47" s="413">
        <v>0</v>
      </c>
      <c r="AU47" s="413"/>
      <c r="AV47" s="413"/>
      <c r="AW47" s="413"/>
      <c r="AX47" s="413"/>
      <c r="AY47" s="413"/>
      <c r="AZ47" s="413"/>
      <c r="BA47" s="413"/>
      <c r="BB47" s="413"/>
      <c r="BC47" s="413"/>
      <c r="BD47" s="413"/>
      <c r="BE47" s="413"/>
      <c r="BF47" s="413"/>
      <c r="BG47" s="413"/>
      <c r="BH47" s="413"/>
      <c r="BI47" s="413"/>
      <c r="BJ47" s="413"/>
      <c r="BK47" s="413"/>
      <c r="BL47" s="413"/>
      <c r="BM47" s="413"/>
      <c r="BN47" s="413"/>
      <c r="BO47" s="413"/>
      <c r="BP47" s="413"/>
      <c r="BQ47" s="413"/>
      <c r="BR47" s="413"/>
      <c r="BS47" s="413"/>
      <c r="BT47" s="413"/>
      <c r="BU47" s="413"/>
      <c r="BV47" s="413"/>
      <c r="BW47" s="413"/>
      <c r="BX47" s="413"/>
      <c r="BY47" s="413"/>
      <c r="BZ47" s="413"/>
      <c r="CA47" s="413"/>
      <c r="CB47" s="413"/>
    </row>
    <row r="48" spans="2:80" x14ac:dyDescent="0.25">
      <c r="B48" s="412">
        <v>83</v>
      </c>
      <c r="C48" s="302" t="s">
        <v>1462</v>
      </c>
      <c r="D48" s="302">
        <v>0</v>
      </c>
      <c r="E48" s="413">
        <v>0</v>
      </c>
      <c r="F48" s="413">
        <v>0</v>
      </c>
      <c r="G48" s="413">
        <v>0</v>
      </c>
      <c r="H48" s="413">
        <v>0</v>
      </c>
      <c r="I48" s="413">
        <v>0</v>
      </c>
      <c r="J48" s="413">
        <v>0</v>
      </c>
      <c r="K48" s="413">
        <v>0</v>
      </c>
      <c r="L48" s="413">
        <v>0</v>
      </c>
      <c r="M48" s="413">
        <v>0</v>
      </c>
      <c r="N48" s="413">
        <v>0</v>
      </c>
      <c r="O48" s="413">
        <v>0</v>
      </c>
      <c r="P48" s="413">
        <v>0</v>
      </c>
      <c r="Q48" s="413">
        <v>0</v>
      </c>
      <c r="R48" s="413">
        <v>0</v>
      </c>
      <c r="S48" s="413">
        <v>0</v>
      </c>
      <c r="T48" s="413">
        <v>0</v>
      </c>
      <c r="U48" s="413">
        <v>0</v>
      </c>
      <c r="V48" s="413">
        <v>0</v>
      </c>
      <c r="W48" s="413">
        <v>0</v>
      </c>
      <c r="X48" s="413">
        <v>0</v>
      </c>
      <c r="Y48" s="413">
        <v>0</v>
      </c>
      <c r="Z48" s="413">
        <v>0</v>
      </c>
      <c r="AA48" s="413">
        <v>0</v>
      </c>
      <c r="AB48" s="413">
        <v>0</v>
      </c>
      <c r="AC48" s="413">
        <v>0</v>
      </c>
      <c r="AD48" s="413">
        <v>0</v>
      </c>
      <c r="AE48" s="413">
        <v>0</v>
      </c>
      <c r="AF48" s="413">
        <v>0</v>
      </c>
      <c r="AG48" s="413">
        <v>0</v>
      </c>
      <c r="AH48" s="413">
        <v>0</v>
      </c>
      <c r="AI48" s="413">
        <v>0</v>
      </c>
      <c r="AJ48" s="413">
        <v>0</v>
      </c>
      <c r="AK48" s="413">
        <v>0</v>
      </c>
      <c r="AL48" s="413">
        <v>0</v>
      </c>
      <c r="AM48" s="413">
        <v>0</v>
      </c>
      <c r="AN48" s="413">
        <v>0</v>
      </c>
      <c r="AO48" s="413">
        <v>0</v>
      </c>
      <c r="AP48" s="413">
        <v>0</v>
      </c>
      <c r="AQ48" s="413">
        <v>0</v>
      </c>
      <c r="AR48" s="413">
        <v>0</v>
      </c>
      <c r="AS48" s="413">
        <v>0</v>
      </c>
      <c r="AT48" s="413">
        <v>0</v>
      </c>
      <c r="AU48" s="413"/>
      <c r="AV48" s="413"/>
      <c r="AW48" s="413"/>
      <c r="AX48" s="413"/>
      <c r="AY48" s="413"/>
      <c r="AZ48" s="413"/>
      <c r="BA48" s="413"/>
      <c r="BB48" s="413"/>
      <c r="BC48" s="413"/>
      <c r="BD48" s="413"/>
      <c r="BE48" s="413"/>
      <c r="BF48" s="413"/>
      <c r="BG48" s="413"/>
      <c r="BH48" s="413"/>
      <c r="BI48" s="413"/>
      <c r="BJ48" s="413"/>
      <c r="BK48" s="413"/>
      <c r="BL48" s="413"/>
      <c r="BM48" s="413"/>
      <c r="BN48" s="413"/>
      <c r="BO48" s="413"/>
      <c r="BP48" s="413"/>
      <c r="BQ48" s="413"/>
      <c r="BR48" s="413"/>
      <c r="BS48" s="413"/>
      <c r="BT48" s="413"/>
      <c r="BU48" s="413"/>
      <c r="BV48" s="413"/>
      <c r="BW48" s="413"/>
      <c r="BX48" s="413"/>
      <c r="BY48" s="413"/>
      <c r="BZ48" s="413"/>
      <c r="CA48" s="413"/>
      <c r="CB48" s="413"/>
    </row>
    <row r="49" spans="2:80" x14ac:dyDescent="0.25">
      <c r="B49" s="412">
        <v>84</v>
      </c>
      <c r="C49" s="302" t="s">
        <v>1463</v>
      </c>
      <c r="D49" s="302">
        <v>0</v>
      </c>
      <c r="E49" s="413">
        <v>0</v>
      </c>
      <c r="F49" s="413">
        <v>0</v>
      </c>
      <c r="G49" s="413">
        <v>0</v>
      </c>
      <c r="H49" s="413">
        <v>0</v>
      </c>
      <c r="I49" s="413">
        <v>0</v>
      </c>
      <c r="J49" s="413">
        <v>0</v>
      </c>
      <c r="K49" s="413">
        <v>0</v>
      </c>
      <c r="L49" s="413">
        <v>0</v>
      </c>
      <c r="M49" s="413">
        <v>0</v>
      </c>
      <c r="N49" s="413">
        <v>0</v>
      </c>
      <c r="O49" s="413">
        <v>0</v>
      </c>
      <c r="P49" s="413">
        <v>0</v>
      </c>
      <c r="Q49" s="413">
        <v>0</v>
      </c>
      <c r="R49" s="413">
        <v>0</v>
      </c>
      <c r="S49" s="413">
        <v>0</v>
      </c>
      <c r="T49" s="413">
        <v>0</v>
      </c>
      <c r="U49" s="413">
        <v>0</v>
      </c>
      <c r="V49" s="413">
        <v>0</v>
      </c>
      <c r="W49" s="413">
        <v>0</v>
      </c>
      <c r="X49" s="413">
        <v>0</v>
      </c>
      <c r="Y49" s="413">
        <v>0</v>
      </c>
      <c r="Z49" s="413">
        <v>0</v>
      </c>
      <c r="AA49" s="413">
        <v>0</v>
      </c>
      <c r="AB49" s="413">
        <v>0</v>
      </c>
      <c r="AC49" s="413">
        <v>0</v>
      </c>
      <c r="AD49" s="413">
        <v>0</v>
      </c>
      <c r="AE49" s="413">
        <v>0</v>
      </c>
      <c r="AF49" s="413">
        <v>0</v>
      </c>
      <c r="AG49" s="413">
        <v>0</v>
      </c>
      <c r="AH49" s="413">
        <v>0</v>
      </c>
      <c r="AI49" s="413">
        <v>0</v>
      </c>
      <c r="AJ49" s="413">
        <v>0</v>
      </c>
      <c r="AK49" s="413">
        <v>0</v>
      </c>
      <c r="AL49" s="413">
        <v>0</v>
      </c>
      <c r="AM49" s="413">
        <v>0</v>
      </c>
      <c r="AN49" s="413">
        <v>0</v>
      </c>
      <c r="AO49" s="413">
        <v>0</v>
      </c>
      <c r="AP49" s="413">
        <v>0</v>
      </c>
      <c r="AQ49" s="413">
        <v>0</v>
      </c>
      <c r="AR49" s="413">
        <v>0</v>
      </c>
      <c r="AS49" s="413">
        <v>0</v>
      </c>
      <c r="AT49" s="413">
        <v>0</v>
      </c>
      <c r="AU49" s="413"/>
      <c r="AV49" s="413"/>
      <c r="AW49" s="413"/>
      <c r="AX49" s="413"/>
      <c r="AY49" s="413"/>
      <c r="AZ49" s="413"/>
      <c r="BA49" s="413"/>
      <c r="BB49" s="413"/>
      <c r="BC49" s="413"/>
      <c r="BD49" s="413"/>
      <c r="BE49" s="413"/>
      <c r="BF49" s="413"/>
      <c r="BG49" s="413"/>
      <c r="BH49" s="413"/>
      <c r="BI49" s="413"/>
      <c r="BJ49" s="413"/>
      <c r="BK49" s="413"/>
      <c r="BL49" s="413"/>
      <c r="BM49" s="413"/>
      <c r="BN49" s="413"/>
      <c r="BO49" s="413"/>
      <c r="BP49" s="413"/>
      <c r="BQ49" s="413"/>
      <c r="BR49" s="413"/>
      <c r="BS49" s="413"/>
      <c r="BT49" s="413"/>
      <c r="BU49" s="413"/>
      <c r="BV49" s="413"/>
      <c r="BW49" s="413"/>
      <c r="BX49" s="413"/>
      <c r="BY49" s="413"/>
      <c r="BZ49" s="413"/>
      <c r="CA49" s="413"/>
      <c r="CB49" s="413"/>
    </row>
    <row r="50" spans="2:80" x14ac:dyDescent="0.25">
      <c r="B50" s="412">
        <v>85</v>
      </c>
      <c r="C50" s="302" t="s">
        <v>1464</v>
      </c>
      <c r="D50" s="302">
        <v>0</v>
      </c>
      <c r="E50" s="413">
        <v>0</v>
      </c>
      <c r="F50" s="413">
        <v>0</v>
      </c>
      <c r="G50" s="413">
        <v>0</v>
      </c>
      <c r="H50" s="413">
        <v>0</v>
      </c>
      <c r="I50" s="413">
        <v>0</v>
      </c>
      <c r="J50" s="413">
        <v>0</v>
      </c>
      <c r="K50" s="413">
        <v>0</v>
      </c>
      <c r="L50" s="413">
        <v>0</v>
      </c>
      <c r="M50" s="413">
        <v>0</v>
      </c>
      <c r="N50" s="413">
        <v>0</v>
      </c>
      <c r="O50" s="413">
        <v>0</v>
      </c>
      <c r="P50" s="413">
        <v>0</v>
      </c>
      <c r="Q50" s="413">
        <v>0</v>
      </c>
      <c r="R50" s="413">
        <v>0</v>
      </c>
      <c r="S50" s="413">
        <v>0</v>
      </c>
      <c r="T50" s="413">
        <v>0</v>
      </c>
      <c r="U50" s="413">
        <v>0</v>
      </c>
      <c r="V50" s="413">
        <v>0</v>
      </c>
      <c r="W50" s="413">
        <v>0</v>
      </c>
      <c r="X50" s="413">
        <v>0</v>
      </c>
      <c r="Y50" s="413">
        <v>0</v>
      </c>
      <c r="Z50" s="413">
        <v>0</v>
      </c>
      <c r="AA50" s="413">
        <v>0</v>
      </c>
      <c r="AB50" s="413">
        <v>0</v>
      </c>
      <c r="AC50" s="413">
        <v>0</v>
      </c>
      <c r="AD50" s="413">
        <v>0</v>
      </c>
      <c r="AE50" s="413">
        <v>0</v>
      </c>
      <c r="AF50" s="413">
        <v>0</v>
      </c>
      <c r="AG50" s="413">
        <v>0</v>
      </c>
      <c r="AH50" s="413">
        <v>0</v>
      </c>
      <c r="AI50" s="413">
        <v>0</v>
      </c>
      <c r="AJ50" s="413">
        <v>0</v>
      </c>
      <c r="AK50" s="413">
        <v>0</v>
      </c>
      <c r="AL50" s="413">
        <v>0</v>
      </c>
      <c r="AM50" s="413">
        <v>0</v>
      </c>
      <c r="AN50" s="413">
        <v>0</v>
      </c>
      <c r="AO50" s="413">
        <v>0</v>
      </c>
      <c r="AP50" s="413">
        <v>0</v>
      </c>
      <c r="AQ50" s="413">
        <v>0</v>
      </c>
      <c r="AR50" s="413">
        <v>0</v>
      </c>
      <c r="AS50" s="413">
        <v>0</v>
      </c>
      <c r="AT50" s="413">
        <v>0</v>
      </c>
      <c r="AU50" s="413"/>
      <c r="AV50" s="413"/>
      <c r="AW50" s="413"/>
      <c r="AX50" s="413"/>
      <c r="AY50" s="413"/>
      <c r="AZ50" s="413"/>
      <c r="BA50" s="413"/>
      <c r="BB50" s="413"/>
      <c r="BC50" s="413"/>
      <c r="BD50" s="413"/>
      <c r="BE50" s="413"/>
      <c r="BF50" s="413"/>
      <c r="BG50" s="413"/>
      <c r="BH50" s="413"/>
      <c r="BI50" s="413"/>
      <c r="BJ50" s="413"/>
      <c r="BK50" s="413"/>
      <c r="BL50" s="413"/>
      <c r="BM50" s="413"/>
      <c r="BN50" s="413"/>
      <c r="BO50" s="413"/>
      <c r="BP50" s="413"/>
      <c r="BQ50" s="413"/>
      <c r="BR50" s="413"/>
      <c r="BS50" s="413"/>
      <c r="BT50" s="413"/>
      <c r="BU50" s="413"/>
      <c r="BV50" s="413"/>
      <c r="BW50" s="413"/>
      <c r="BX50" s="413"/>
      <c r="BY50" s="413"/>
      <c r="BZ50" s="413"/>
      <c r="CA50" s="413"/>
      <c r="CB50" s="413"/>
    </row>
    <row r="51" spans="2:80" x14ac:dyDescent="0.25">
      <c r="B51" s="412">
        <v>88</v>
      </c>
      <c r="C51" s="302" t="s">
        <v>1465</v>
      </c>
      <c r="D51" s="302">
        <v>0</v>
      </c>
      <c r="E51" s="413">
        <v>0</v>
      </c>
      <c r="F51" s="413">
        <v>0</v>
      </c>
      <c r="G51" s="413">
        <v>0</v>
      </c>
      <c r="H51" s="413">
        <v>0</v>
      </c>
      <c r="I51" s="413">
        <v>0</v>
      </c>
      <c r="J51" s="413">
        <v>0</v>
      </c>
      <c r="K51" s="413">
        <v>0</v>
      </c>
      <c r="L51" s="413">
        <v>0</v>
      </c>
      <c r="M51" s="413">
        <v>0</v>
      </c>
      <c r="N51" s="413">
        <v>0</v>
      </c>
      <c r="O51" s="413">
        <v>0</v>
      </c>
      <c r="P51" s="413">
        <v>0</v>
      </c>
      <c r="Q51" s="413">
        <v>0</v>
      </c>
      <c r="R51" s="413">
        <v>0</v>
      </c>
      <c r="S51" s="413">
        <v>0</v>
      </c>
      <c r="T51" s="413">
        <v>0</v>
      </c>
      <c r="U51" s="413">
        <v>0</v>
      </c>
      <c r="V51" s="413">
        <v>0</v>
      </c>
      <c r="W51" s="413">
        <v>0</v>
      </c>
      <c r="X51" s="413">
        <v>0</v>
      </c>
      <c r="Y51" s="413">
        <v>0</v>
      </c>
      <c r="Z51" s="413">
        <v>0</v>
      </c>
      <c r="AA51" s="413">
        <v>0</v>
      </c>
      <c r="AB51" s="413">
        <v>0</v>
      </c>
      <c r="AC51" s="413">
        <v>0</v>
      </c>
      <c r="AD51" s="413">
        <v>0</v>
      </c>
      <c r="AE51" s="413">
        <v>0</v>
      </c>
      <c r="AF51" s="413">
        <v>0</v>
      </c>
      <c r="AG51" s="413">
        <v>0</v>
      </c>
      <c r="AH51" s="413">
        <v>0</v>
      </c>
      <c r="AI51" s="413">
        <v>0</v>
      </c>
      <c r="AJ51" s="413">
        <v>0</v>
      </c>
      <c r="AK51" s="413">
        <v>0</v>
      </c>
      <c r="AL51" s="413">
        <v>0</v>
      </c>
      <c r="AM51" s="413">
        <v>0</v>
      </c>
      <c r="AN51" s="413">
        <v>0</v>
      </c>
      <c r="AO51" s="413">
        <v>0</v>
      </c>
      <c r="AP51" s="413">
        <v>0</v>
      </c>
      <c r="AQ51" s="413">
        <v>0</v>
      </c>
      <c r="AR51" s="413">
        <v>0</v>
      </c>
      <c r="AS51" s="413">
        <v>0</v>
      </c>
      <c r="AT51" s="413">
        <v>0</v>
      </c>
      <c r="AU51" s="413"/>
      <c r="AV51" s="413"/>
      <c r="AW51" s="413"/>
      <c r="AX51" s="413"/>
      <c r="AY51" s="413"/>
      <c r="AZ51" s="413"/>
      <c r="BA51" s="413"/>
      <c r="BB51" s="413"/>
      <c r="BC51" s="413"/>
      <c r="BD51" s="413"/>
      <c r="BE51" s="413"/>
      <c r="BF51" s="413"/>
      <c r="BG51" s="413"/>
      <c r="BH51" s="413"/>
      <c r="BI51" s="413"/>
      <c r="BJ51" s="413"/>
      <c r="BK51" s="413"/>
      <c r="BL51" s="413"/>
      <c r="BM51" s="413"/>
      <c r="BN51" s="413"/>
      <c r="BO51" s="413"/>
      <c r="BP51" s="413"/>
      <c r="BQ51" s="413"/>
      <c r="BR51" s="413"/>
      <c r="BS51" s="413"/>
      <c r="BT51" s="413"/>
      <c r="BU51" s="413"/>
      <c r="BV51" s="413"/>
      <c r="BW51" s="413"/>
      <c r="BX51" s="413"/>
      <c r="BY51" s="413"/>
      <c r="BZ51" s="413"/>
      <c r="CA51" s="413"/>
      <c r="CB51" s="413"/>
    </row>
    <row r="52" spans="2:80" x14ac:dyDescent="0.25">
      <c r="B52" s="412">
        <v>89</v>
      </c>
      <c r="C52" s="302" t="s">
        <v>1466</v>
      </c>
      <c r="D52" s="302">
        <v>0</v>
      </c>
      <c r="E52" s="413">
        <v>0</v>
      </c>
      <c r="F52" s="413">
        <v>0</v>
      </c>
      <c r="G52" s="413">
        <v>0</v>
      </c>
      <c r="H52" s="413">
        <v>0</v>
      </c>
      <c r="I52" s="413">
        <v>0</v>
      </c>
      <c r="J52" s="413">
        <v>0</v>
      </c>
      <c r="K52" s="413">
        <v>0</v>
      </c>
      <c r="L52" s="413">
        <v>0</v>
      </c>
      <c r="M52" s="413">
        <v>0</v>
      </c>
      <c r="N52" s="413">
        <v>0</v>
      </c>
      <c r="O52" s="413">
        <v>0</v>
      </c>
      <c r="P52" s="413">
        <v>0</v>
      </c>
      <c r="Q52" s="413">
        <v>0</v>
      </c>
      <c r="R52" s="413">
        <v>0</v>
      </c>
      <c r="S52" s="413">
        <v>0</v>
      </c>
      <c r="T52" s="413">
        <v>0</v>
      </c>
      <c r="U52" s="413">
        <v>0</v>
      </c>
      <c r="V52" s="413">
        <v>0</v>
      </c>
      <c r="W52" s="413">
        <v>0</v>
      </c>
      <c r="X52" s="413">
        <v>0</v>
      </c>
      <c r="Y52" s="413">
        <v>0</v>
      </c>
      <c r="Z52" s="413">
        <v>0</v>
      </c>
      <c r="AA52" s="413">
        <v>0</v>
      </c>
      <c r="AB52" s="413">
        <v>0</v>
      </c>
      <c r="AC52" s="413">
        <v>0</v>
      </c>
      <c r="AD52" s="413">
        <v>0</v>
      </c>
      <c r="AE52" s="413">
        <v>0</v>
      </c>
      <c r="AF52" s="413">
        <v>0</v>
      </c>
      <c r="AG52" s="413">
        <v>0</v>
      </c>
      <c r="AH52" s="413">
        <v>0</v>
      </c>
      <c r="AI52" s="413">
        <v>0</v>
      </c>
      <c r="AJ52" s="413">
        <v>0</v>
      </c>
      <c r="AK52" s="413">
        <v>0</v>
      </c>
      <c r="AL52" s="413">
        <v>0</v>
      </c>
      <c r="AM52" s="413">
        <v>0</v>
      </c>
      <c r="AN52" s="413">
        <v>0</v>
      </c>
      <c r="AO52" s="413">
        <v>0</v>
      </c>
      <c r="AP52" s="413">
        <v>0</v>
      </c>
      <c r="AQ52" s="413">
        <v>0</v>
      </c>
      <c r="AR52" s="413">
        <v>0</v>
      </c>
      <c r="AS52" s="413">
        <v>0</v>
      </c>
      <c r="AT52" s="413">
        <v>0</v>
      </c>
      <c r="AU52" s="413"/>
      <c r="AV52" s="413"/>
      <c r="AW52" s="413"/>
      <c r="AX52" s="413"/>
      <c r="AY52" s="413"/>
      <c r="AZ52" s="413"/>
      <c r="BA52" s="413"/>
      <c r="BB52" s="413"/>
      <c r="BC52" s="413"/>
      <c r="BD52" s="413"/>
      <c r="BE52" s="413"/>
      <c r="BF52" s="413"/>
      <c r="BG52" s="413"/>
      <c r="BH52" s="413"/>
      <c r="BI52" s="413"/>
      <c r="BJ52" s="413"/>
      <c r="BK52" s="413"/>
      <c r="BL52" s="413"/>
      <c r="BM52" s="413"/>
      <c r="BN52" s="413"/>
      <c r="BO52" s="413"/>
      <c r="BP52" s="413"/>
      <c r="BQ52" s="413"/>
      <c r="BR52" s="413"/>
      <c r="BS52" s="413"/>
      <c r="BT52" s="413"/>
      <c r="BU52" s="413"/>
      <c r="BV52" s="413"/>
      <c r="BW52" s="413"/>
      <c r="BX52" s="413"/>
      <c r="BY52" s="413"/>
      <c r="BZ52" s="413"/>
      <c r="CA52" s="413"/>
      <c r="CB52" s="413"/>
    </row>
    <row r="53" spans="2:80" x14ac:dyDescent="0.25">
      <c r="B53" s="412">
        <v>90</v>
      </c>
      <c r="C53" s="302" t="s">
        <v>1467</v>
      </c>
      <c r="D53" s="302">
        <v>0</v>
      </c>
      <c r="E53" s="413">
        <v>0</v>
      </c>
      <c r="F53" s="413">
        <v>0</v>
      </c>
      <c r="G53" s="413">
        <v>0</v>
      </c>
      <c r="H53" s="413">
        <v>0</v>
      </c>
      <c r="I53" s="413">
        <v>0</v>
      </c>
      <c r="J53" s="413">
        <v>0</v>
      </c>
      <c r="K53" s="413">
        <v>0</v>
      </c>
      <c r="L53" s="413">
        <v>0</v>
      </c>
      <c r="M53" s="413">
        <v>0</v>
      </c>
      <c r="N53" s="413">
        <v>0</v>
      </c>
      <c r="O53" s="413">
        <v>0</v>
      </c>
      <c r="P53" s="413">
        <v>0</v>
      </c>
      <c r="Q53" s="413">
        <v>0</v>
      </c>
      <c r="R53" s="413">
        <v>0</v>
      </c>
      <c r="S53" s="413">
        <v>0</v>
      </c>
      <c r="T53" s="413">
        <v>0</v>
      </c>
      <c r="U53" s="413">
        <v>0</v>
      </c>
      <c r="V53" s="413">
        <v>0</v>
      </c>
      <c r="W53" s="413">
        <v>0</v>
      </c>
      <c r="X53" s="413">
        <v>0</v>
      </c>
      <c r="Y53" s="413">
        <v>0</v>
      </c>
      <c r="Z53" s="413">
        <v>0</v>
      </c>
      <c r="AA53" s="413">
        <v>0</v>
      </c>
      <c r="AB53" s="413">
        <v>0</v>
      </c>
      <c r="AC53" s="413">
        <v>0</v>
      </c>
      <c r="AD53" s="413">
        <v>0</v>
      </c>
      <c r="AE53" s="413">
        <v>0</v>
      </c>
      <c r="AF53" s="413">
        <v>0</v>
      </c>
      <c r="AG53" s="413">
        <v>0</v>
      </c>
      <c r="AH53" s="413">
        <v>0</v>
      </c>
      <c r="AI53" s="413">
        <v>0</v>
      </c>
      <c r="AJ53" s="413">
        <v>0</v>
      </c>
      <c r="AK53" s="413">
        <v>0</v>
      </c>
      <c r="AL53" s="413">
        <v>0</v>
      </c>
      <c r="AM53" s="413">
        <v>0</v>
      </c>
      <c r="AN53" s="413">
        <v>0</v>
      </c>
      <c r="AO53" s="413">
        <v>0</v>
      </c>
      <c r="AP53" s="413">
        <v>0</v>
      </c>
      <c r="AQ53" s="413">
        <v>0</v>
      </c>
      <c r="AR53" s="413">
        <v>0</v>
      </c>
      <c r="AS53" s="413">
        <v>0</v>
      </c>
      <c r="AT53" s="413">
        <v>0</v>
      </c>
      <c r="AU53" s="413"/>
      <c r="AV53" s="413"/>
      <c r="AW53" s="413"/>
      <c r="AX53" s="413"/>
      <c r="AY53" s="413"/>
      <c r="AZ53" s="413"/>
      <c r="BA53" s="413"/>
      <c r="BB53" s="413"/>
      <c r="BC53" s="413"/>
      <c r="BD53" s="413"/>
      <c r="BE53" s="413"/>
      <c r="BF53" s="413"/>
      <c r="BG53" s="413"/>
      <c r="BH53" s="413"/>
      <c r="BI53" s="413"/>
      <c r="BJ53" s="413"/>
      <c r="BK53" s="413"/>
      <c r="BL53" s="413"/>
      <c r="BM53" s="413"/>
      <c r="BN53" s="413"/>
      <c r="BO53" s="413"/>
      <c r="BP53" s="413"/>
      <c r="BQ53" s="413"/>
      <c r="BR53" s="413"/>
      <c r="BS53" s="413"/>
      <c r="BT53" s="413"/>
      <c r="BU53" s="413"/>
      <c r="BV53" s="413"/>
      <c r="BW53" s="413"/>
      <c r="BX53" s="413"/>
      <c r="BY53" s="413"/>
      <c r="BZ53" s="413"/>
      <c r="CA53" s="413"/>
      <c r="CB53" s="413"/>
    </row>
    <row r="54" spans="2:80" x14ac:dyDescent="0.25">
      <c r="B54" s="412">
        <v>91</v>
      </c>
      <c r="C54" s="302" t="s">
        <v>1468</v>
      </c>
      <c r="D54" s="302">
        <v>0</v>
      </c>
      <c r="E54" s="413">
        <v>0</v>
      </c>
      <c r="F54" s="413">
        <v>0</v>
      </c>
      <c r="G54" s="413">
        <v>0</v>
      </c>
      <c r="H54" s="413">
        <v>0</v>
      </c>
      <c r="I54" s="413">
        <v>0</v>
      </c>
      <c r="J54" s="413">
        <v>0</v>
      </c>
      <c r="K54" s="413">
        <v>0</v>
      </c>
      <c r="L54" s="413">
        <v>0</v>
      </c>
      <c r="M54" s="413">
        <v>0</v>
      </c>
      <c r="N54" s="413">
        <v>0</v>
      </c>
      <c r="O54" s="413">
        <v>0</v>
      </c>
      <c r="P54" s="413">
        <v>0</v>
      </c>
      <c r="Q54" s="413">
        <v>0</v>
      </c>
      <c r="R54" s="413">
        <v>0</v>
      </c>
      <c r="S54" s="413">
        <v>0</v>
      </c>
      <c r="T54" s="413">
        <v>0</v>
      </c>
      <c r="U54" s="413">
        <v>0</v>
      </c>
      <c r="V54" s="413">
        <v>0</v>
      </c>
      <c r="W54" s="413">
        <v>0</v>
      </c>
      <c r="X54" s="413">
        <v>0</v>
      </c>
      <c r="Y54" s="413">
        <v>0</v>
      </c>
      <c r="Z54" s="413">
        <v>0</v>
      </c>
      <c r="AA54" s="413">
        <v>0</v>
      </c>
      <c r="AB54" s="413">
        <v>0</v>
      </c>
      <c r="AC54" s="413">
        <v>0</v>
      </c>
      <c r="AD54" s="413">
        <v>0</v>
      </c>
      <c r="AE54" s="413">
        <v>0</v>
      </c>
      <c r="AF54" s="413">
        <v>0</v>
      </c>
      <c r="AG54" s="413">
        <v>0</v>
      </c>
      <c r="AH54" s="413">
        <v>0</v>
      </c>
      <c r="AI54" s="413">
        <v>0</v>
      </c>
      <c r="AJ54" s="413">
        <v>0</v>
      </c>
      <c r="AK54" s="413">
        <v>0</v>
      </c>
      <c r="AL54" s="413">
        <v>0</v>
      </c>
      <c r="AM54" s="413">
        <v>0</v>
      </c>
      <c r="AN54" s="413">
        <v>0</v>
      </c>
      <c r="AO54" s="413">
        <v>0</v>
      </c>
      <c r="AP54" s="413">
        <v>0</v>
      </c>
      <c r="AQ54" s="413">
        <v>0</v>
      </c>
      <c r="AR54" s="413">
        <v>0</v>
      </c>
      <c r="AS54" s="413">
        <v>0</v>
      </c>
      <c r="AT54" s="413">
        <v>0</v>
      </c>
      <c r="AU54" s="413"/>
      <c r="AV54" s="413"/>
      <c r="AW54" s="413"/>
      <c r="AX54" s="413"/>
      <c r="AY54" s="413"/>
      <c r="AZ54" s="413"/>
      <c r="BA54" s="413"/>
      <c r="BB54" s="413"/>
      <c r="BC54" s="413"/>
      <c r="BD54" s="413"/>
      <c r="BE54" s="413"/>
      <c r="BF54" s="413"/>
      <c r="BG54" s="413"/>
      <c r="BH54" s="413"/>
      <c r="BI54" s="413"/>
      <c r="BJ54" s="413"/>
      <c r="BK54" s="413"/>
      <c r="BL54" s="413"/>
      <c r="BM54" s="413"/>
      <c r="BN54" s="413"/>
      <c r="BO54" s="413"/>
      <c r="BP54" s="413"/>
      <c r="BQ54" s="413"/>
      <c r="BR54" s="413"/>
      <c r="BS54" s="413"/>
      <c r="BT54" s="413"/>
      <c r="BU54" s="413"/>
      <c r="BV54" s="413"/>
      <c r="BW54" s="413"/>
      <c r="BX54" s="413"/>
      <c r="BY54" s="413"/>
      <c r="BZ54" s="413"/>
      <c r="CA54" s="413"/>
      <c r="CB54" s="413"/>
    </row>
    <row r="55" spans="2:80" x14ac:dyDescent="0.25">
      <c r="B55" s="412">
        <v>92</v>
      </c>
      <c r="C55" s="302" t="s">
        <v>1469</v>
      </c>
      <c r="D55" s="302">
        <v>0</v>
      </c>
      <c r="E55" s="413">
        <v>0</v>
      </c>
      <c r="F55" s="413">
        <v>0</v>
      </c>
      <c r="G55" s="413">
        <v>0</v>
      </c>
      <c r="H55" s="413">
        <v>0</v>
      </c>
      <c r="I55" s="413">
        <v>0</v>
      </c>
      <c r="J55" s="413">
        <v>0</v>
      </c>
      <c r="K55" s="413">
        <v>0</v>
      </c>
      <c r="L55" s="413">
        <v>0</v>
      </c>
      <c r="M55" s="413">
        <v>0</v>
      </c>
      <c r="N55" s="413">
        <v>0</v>
      </c>
      <c r="O55" s="413">
        <v>0</v>
      </c>
      <c r="P55" s="413">
        <v>0</v>
      </c>
      <c r="Q55" s="413">
        <v>0</v>
      </c>
      <c r="R55" s="413">
        <v>0</v>
      </c>
      <c r="S55" s="413">
        <v>0</v>
      </c>
      <c r="T55" s="413">
        <v>0</v>
      </c>
      <c r="U55" s="413">
        <v>0</v>
      </c>
      <c r="V55" s="413">
        <v>0</v>
      </c>
      <c r="W55" s="413">
        <v>0</v>
      </c>
      <c r="X55" s="413">
        <v>0</v>
      </c>
      <c r="Y55" s="413">
        <v>0</v>
      </c>
      <c r="Z55" s="413">
        <v>0</v>
      </c>
      <c r="AA55" s="413">
        <v>0</v>
      </c>
      <c r="AB55" s="413">
        <v>0</v>
      </c>
      <c r="AC55" s="413">
        <v>0</v>
      </c>
      <c r="AD55" s="413">
        <v>0</v>
      </c>
      <c r="AE55" s="413">
        <v>0</v>
      </c>
      <c r="AF55" s="413">
        <v>0</v>
      </c>
      <c r="AG55" s="413">
        <v>0</v>
      </c>
      <c r="AH55" s="413">
        <v>0</v>
      </c>
      <c r="AI55" s="413">
        <v>0</v>
      </c>
      <c r="AJ55" s="413">
        <v>0</v>
      </c>
      <c r="AK55" s="413">
        <v>0</v>
      </c>
      <c r="AL55" s="413">
        <v>0</v>
      </c>
      <c r="AM55" s="413">
        <v>0</v>
      </c>
      <c r="AN55" s="413">
        <v>0</v>
      </c>
      <c r="AO55" s="413">
        <v>0</v>
      </c>
      <c r="AP55" s="413">
        <v>0</v>
      </c>
      <c r="AQ55" s="413">
        <v>0</v>
      </c>
      <c r="AR55" s="413">
        <v>0</v>
      </c>
      <c r="AS55" s="413">
        <v>0</v>
      </c>
      <c r="AT55" s="413">
        <v>0</v>
      </c>
      <c r="AU55" s="413"/>
      <c r="AV55" s="413"/>
      <c r="AW55" s="413"/>
      <c r="AX55" s="413"/>
      <c r="AY55" s="413"/>
      <c r="AZ55" s="413"/>
      <c r="BA55" s="413"/>
      <c r="BB55" s="413"/>
      <c r="BC55" s="413"/>
      <c r="BD55" s="413"/>
      <c r="BE55" s="413"/>
      <c r="BF55" s="413"/>
      <c r="BG55" s="413"/>
      <c r="BH55" s="413"/>
      <c r="BI55" s="413"/>
      <c r="BJ55" s="413"/>
      <c r="BK55" s="413"/>
      <c r="BL55" s="413"/>
      <c r="BM55" s="413"/>
      <c r="BN55" s="413"/>
      <c r="BO55" s="413"/>
      <c r="BP55" s="413"/>
      <c r="BQ55" s="413"/>
      <c r="BR55" s="413"/>
      <c r="BS55" s="413"/>
      <c r="BT55" s="413"/>
      <c r="BU55" s="413"/>
      <c r="BV55" s="413"/>
      <c r="BW55" s="413"/>
      <c r="BX55" s="413"/>
      <c r="BY55" s="413"/>
      <c r="BZ55" s="413"/>
      <c r="CA55" s="413"/>
      <c r="CB55" s="413"/>
    </row>
    <row r="56" spans="2:80" x14ac:dyDescent="0.25">
      <c r="B56" s="412">
        <v>93</v>
      </c>
      <c r="C56" s="302" t="s">
        <v>1470</v>
      </c>
      <c r="D56" s="302">
        <v>0</v>
      </c>
      <c r="E56" s="413">
        <v>0</v>
      </c>
      <c r="F56" s="413">
        <v>0</v>
      </c>
      <c r="G56" s="413">
        <v>0</v>
      </c>
      <c r="H56" s="413">
        <v>0</v>
      </c>
      <c r="I56" s="413">
        <v>0</v>
      </c>
      <c r="J56" s="413">
        <v>0</v>
      </c>
      <c r="K56" s="413">
        <v>0</v>
      </c>
      <c r="L56" s="413">
        <v>0</v>
      </c>
      <c r="M56" s="413">
        <v>0</v>
      </c>
      <c r="N56" s="413">
        <v>0</v>
      </c>
      <c r="O56" s="413">
        <v>0</v>
      </c>
      <c r="P56" s="413">
        <v>0</v>
      </c>
      <c r="Q56" s="413">
        <v>0</v>
      </c>
      <c r="R56" s="413">
        <v>0</v>
      </c>
      <c r="S56" s="413">
        <v>0</v>
      </c>
      <c r="T56" s="413">
        <v>0</v>
      </c>
      <c r="U56" s="413">
        <v>0</v>
      </c>
      <c r="V56" s="413">
        <v>0</v>
      </c>
      <c r="W56" s="413">
        <v>0</v>
      </c>
      <c r="X56" s="413">
        <v>0</v>
      </c>
      <c r="Y56" s="413">
        <v>0</v>
      </c>
      <c r="Z56" s="413">
        <v>0</v>
      </c>
      <c r="AA56" s="413">
        <v>0</v>
      </c>
      <c r="AB56" s="413">
        <v>0</v>
      </c>
      <c r="AC56" s="413">
        <v>0</v>
      </c>
      <c r="AD56" s="413">
        <v>0</v>
      </c>
      <c r="AE56" s="413">
        <v>0</v>
      </c>
      <c r="AF56" s="413">
        <v>0</v>
      </c>
      <c r="AG56" s="413">
        <v>0</v>
      </c>
      <c r="AH56" s="413">
        <v>0</v>
      </c>
      <c r="AI56" s="413">
        <v>0</v>
      </c>
      <c r="AJ56" s="413">
        <v>0</v>
      </c>
      <c r="AK56" s="413">
        <v>0</v>
      </c>
      <c r="AL56" s="413">
        <v>0</v>
      </c>
      <c r="AM56" s="413">
        <v>0</v>
      </c>
      <c r="AN56" s="413">
        <v>0</v>
      </c>
      <c r="AO56" s="413">
        <v>0</v>
      </c>
      <c r="AP56" s="413">
        <v>0</v>
      </c>
      <c r="AQ56" s="413">
        <v>0</v>
      </c>
      <c r="AR56" s="413">
        <v>0</v>
      </c>
      <c r="AS56" s="413">
        <v>0</v>
      </c>
      <c r="AT56" s="413">
        <v>0</v>
      </c>
      <c r="AU56" s="413"/>
      <c r="AV56" s="413"/>
      <c r="AW56" s="413"/>
      <c r="AX56" s="413"/>
      <c r="AY56" s="413"/>
      <c r="AZ56" s="413"/>
      <c r="BA56" s="413"/>
      <c r="BB56" s="413"/>
      <c r="BC56" s="413"/>
      <c r="BD56" s="413"/>
      <c r="BE56" s="413"/>
      <c r="BF56" s="413"/>
      <c r="BG56" s="413"/>
      <c r="BH56" s="413"/>
      <c r="BI56" s="413"/>
      <c r="BJ56" s="413"/>
      <c r="BK56" s="413"/>
      <c r="BL56" s="413"/>
      <c r="BM56" s="413"/>
      <c r="BN56" s="413"/>
      <c r="BO56" s="413"/>
      <c r="BP56" s="413"/>
      <c r="BQ56" s="413"/>
      <c r="BR56" s="413"/>
      <c r="BS56" s="413"/>
      <c r="BT56" s="413"/>
      <c r="BU56" s="413"/>
      <c r="BV56" s="413"/>
      <c r="BW56" s="413"/>
      <c r="BX56" s="413"/>
      <c r="BY56" s="413"/>
      <c r="BZ56" s="413"/>
      <c r="CA56" s="413"/>
      <c r="CB56" s="413"/>
    </row>
    <row r="57" spans="2:80" x14ac:dyDescent="0.25">
      <c r="B57" s="412">
        <v>94</v>
      </c>
      <c r="C57" s="302" t="s">
        <v>1471</v>
      </c>
      <c r="D57" s="302">
        <v>0</v>
      </c>
      <c r="E57" s="413">
        <v>0</v>
      </c>
      <c r="F57" s="413">
        <v>0</v>
      </c>
      <c r="G57" s="413">
        <v>0</v>
      </c>
      <c r="H57" s="413">
        <v>0</v>
      </c>
      <c r="I57" s="413">
        <v>0</v>
      </c>
      <c r="J57" s="413">
        <v>0</v>
      </c>
      <c r="K57" s="413">
        <v>0</v>
      </c>
      <c r="L57" s="413">
        <v>0</v>
      </c>
      <c r="M57" s="413">
        <v>0</v>
      </c>
      <c r="N57" s="413">
        <v>0</v>
      </c>
      <c r="O57" s="413">
        <v>0</v>
      </c>
      <c r="P57" s="413">
        <v>0</v>
      </c>
      <c r="Q57" s="413">
        <v>0</v>
      </c>
      <c r="R57" s="413">
        <v>0</v>
      </c>
      <c r="S57" s="413">
        <v>0</v>
      </c>
      <c r="T57" s="413">
        <v>0</v>
      </c>
      <c r="U57" s="413">
        <v>0</v>
      </c>
      <c r="V57" s="413">
        <v>0</v>
      </c>
      <c r="W57" s="413">
        <v>0</v>
      </c>
      <c r="X57" s="413">
        <v>0</v>
      </c>
      <c r="Y57" s="413">
        <v>0</v>
      </c>
      <c r="Z57" s="413">
        <v>0</v>
      </c>
      <c r="AA57" s="413">
        <v>0</v>
      </c>
      <c r="AB57" s="413">
        <v>0</v>
      </c>
      <c r="AC57" s="413">
        <v>0</v>
      </c>
      <c r="AD57" s="413">
        <v>0</v>
      </c>
      <c r="AE57" s="413">
        <v>0</v>
      </c>
      <c r="AF57" s="413">
        <v>0</v>
      </c>
      <c r="AG57" s="413">
        <v>0</v>
      </c>
      <c r="AH57" s="413">
        <v>0</v>
      </c>
      <c r="AI57" s="413">
        <v>0</v>
      </c>
      <c r="AJ57" s="413">
        <v>0</v>
      </c>
      <c r="AK57" s="413">
        <v>0</v>
      </c>
      <c r="AL57" s="413">
        <v>0</v>
      </c>
      <c r="AM57" s="413">
        <v>0</v>
      </c>
      <c r="AN57" s="413">
        <v>0</v>
      </c>
      <c r="AO57" s="413">
        <v>0</v>
      </c>
      <c r="AP57" s="413">
        <v>0</v>
      </c>
      <c r="AQ57" s="413">
        <v>0</v>
      </c>
      <c r="AR57" s="413">
        <v>0</v>
      </c>
      <c r="AS57" s="413">
        <v>0</v>
      </c>
      <c r="AT57" s="413">
        <v>0</v>
      </c>
      <c r="AU57" s="413"/>
      <c r="AV57" s="413"/>
      <c r="AW57" s="413"/>
      <c r="AX57" s="413"/>
      <c r="AY57" s="413"/>
      <c r="AZ57" s="413"/>
      <c r="BA57" s="413"/>
      <c r="BB57" s="413"/>
      <c r="BC57" s="413"/>
      <c r="BD57" s="413"/>
      <c r="BE57" s="413"/>
      <c r="BF57" s="413"/>
      <c r="BG57" s="413"/>
      <c r="BH57" s="413"/>
      <c r="BI57" s="413"/>
      <c r="BJ57" s="413"/>
      <c r="BK57" s="413"/>
      <c r="BL57" s="413"/>
      <c r="BM57" s="413"/>
      <c r="BN57" s="413"/>
      <c r="BO57" s="413"/>
      <c r="BP57" s="413"/>
      <c r="BQ57" s="413"/>
      <c r="BR57" s="413"/>
      <c r="BS57" s="413"/>
      <c r="BT57" s="413"/>
      <c r="BU57" s="413"/>
      <c r="BV57" s="413"/>
      <c r="BW57" s="413"/>
      <c r="BX57" s="413"/>
      <c r="BY57" s="413"/>
      <c r="BZ57" s="413"/>
      <c r="CA57" s="413"/>
      <c r="CB57" s="413"/>
    </row>
    <row r="58" spans="2:80" x14ac:dyDescent="0.25">
      <c r="B58" s="412">
        <v>97</v>
      </c>
      <c r="C58" s="302" t="s">
        <v>1472</v>
      </c>
      <c r="D58" s="302">
        <v>0</v>
      </c>
      <c r="E58" s="413">
        <v>0</v>
      </c>
      <c r="F58" s="413">
        <v>0</v>
      </c>
      <c r="G58" s="413">
        <v>0</v>
      </c>
      <c r="H58" s="413">
        <v>0</v>
      </c>
      <c r="I58" s="413">
        <v>0</v>
      </c>
      <c r="J58" s="413">
        <v>0</v>
      </c>
      <c r="K58" s="413">
        <v>0</v>
      </c>
      <c r="L58" s="413">
        <v>0</v>
      </c>
      <c r="M58" s="413">
        <v>0</v>
      </c>
      <c r="N58" s="413">
        <v>0</v>
      </c>
      <c r="O58" s="413">
        <v>0</v>
      </c>
      <c r="P58" s="413">
        <v>0</v>
      </c>
      <c r="Q58" s="413">
        <v>0</v>
      </c>
      <c r="R58" s="413">
        <v>0</v>
      </c>
      <c r="S58" s="413">
        <v>0</v>
      </c>
      <c r="T58" s="413">
        <v>0</v>
      </c>
      <c r="U58" s="413">
        <v>0</v>
      </c>
      <c r="V58" s="413">
        <v>0</v>
      </c>
      <c r="W58" s="413">
        <v>0</v>
      </c>
      <c r="X58" s="413">
        <v>0</v>
      </c>
      <c r="Y58" s="413">
        <v>0</v>
      </c>
      <c r="Z58" s="413">
        <v>0</v>
      </c>
      <c r="AA58" s="413">
        <v>0</v>
      </c>
      <c r="AB58" s="413">
        <v>0</v>
      </c>
      <c r="AC58" s="413">
        <v>0</v>
      </c>
      <c r="AD58" s="413">
        <v>0</v>
      </c>
      <c r="AE58" s="413">
        <v>0</v>
      </c>
      <c r="AF58" s="413">
        <v>0</v>
      </c>
      <c r="AG58" s="413">
        <v>0</v>
      </c>
      <c r="AH58" s="413">
        <v>0</v>
      </c>
      <c r="AI58" s="413">
        <v>0</v>
      </c>
      <c r="AJ58" s="413">
        <v>0</v>
      </c>
      <c r="AK58" s="413">
        <v>0</v>
      </c>
      <c r="AL58" s="413">
        <v>0</v>
      </c>
      <c r="AM58" s="413">
        <v>0</v>
      </c>
      <c r="AN58" s="413">
        <v>0</v>
      </c>
      <c r="AO58" s="413">
        <v>0</v>
      </c>
      <c r="AP58" s="413">
        <v>0</v>
      </c>
      <c r="AQ58" s="413">
        <v>0</v>
      </c>
      <c r="AR58" s="413">
        <v>0</v>
      </c>
      <c r="AS58" s="413">
        <v>0</v>
      </c>
      <c r="AT58" s="413">
        <v>0</v>
      </c>
      <c r="AU58" s="413"/>
      <c r="AV58" s="413"/>
      <c r="AW58" s="413"/>
      <c r="AX58" s="413"/>
      <c r="AY58" s="413"/>
      <c r="AZ58" s="413"/>
      <c r="BA58" s="413"/>
      <c r="BB58" s="413"/>
      <c r="BC58" s="413"/>
      <c r="BD58" s="413"/>
      <c r="BE58" s="413"/>
      <c r="BF58" s="413"/>
      <c r="BG58" s="413"/>
      <c r="BH58" s="413"/>
      <c r="BI58" s="413"/>
      <c r="BJ58" s="413"/>
      <c r="BK58" s="413"/>
      <c r="BL58" s="413"/>
      <c r="BM58" s="413"/>
      <c r="BN58" s="413"/>
      <c r="BO58" s="413"/>
      <c r="BP58" s="413"/>
      <c r="BQ58" s="413"/>
      <c r="BR58" s="413"/>
      <c r="BS58" s="413"/>
      <c r="BT58" s="413"/>
      <c r="BU58" s="413"/>
      <c r="BV58" s="413"/>
      <c r="BW58" s="413"/>
      <c r="BX58" s="413"/>
      <c r="BY58" s="413"/>
      <c r="BZ58" s="413"/>
      <c r="CA58" s="413"/>
      <c r="CB58" s="413"/>
    </row>
    <row r="59" spans="2:80" x14ac:dyDescent="0.25">
      <c r="B59" s="412">
        <v>98</v>
      </c>
      <c r="C59" s="302" t="s">
        <v>1473</v>
      </c>
      <c r="D59" s="302">
        <v>0</v>
      </c>
      <c r="E59" s="413">
        <v>0</v>
      </c>
      <c r="F59" s="413">
        <v>0</v>
      </c>
      <c r="G59" s="413">
        <v>0</v>
      </c>
      <c r="H59" s="413">
        <v>0</v>
      </c>
      <c r="I59" s="413">
        <v>0</v>
      </c>
      <c r="J59" s="413">
        <v>0</v>
      </c>
      <c r="K59" s="413">
        <v>0</v>
      </c>
      <c r="L59" s="413">
        <v>0</v>
      </c>
      <c r="M59" s="413">
        <v>0</v>
      </c>
      <c r="N59" s="413">
        <v>0</v>
      </c>
      <c r="O59" s="413">
        <v>0</v>
      </c>
      <c r="P59" s="413">
        <v>0</v>
      </c>
      <c r="Q59" s="413">
        <v>0</v>
      </c>
      <c r="R59" s="413">
        <v>0</v>
      </c>
      <c r="S59" s="413">
        <v>0</v>
      </c>
      <c r="T59" s="413">
        <v>0</v>
      </c>
      <c r="U59" s="413">
        <v>0</v>
      </c>
      <c r="V59" s="413">
        <v>0</v>
      </c>
      <c r="W59" s="413">
        <v>0</v>
      </c>
      <c r="X59" s="413">
        <v>0</v>
      </c>
      <c r="Y59" s="413">
        <v>0</v>
      </c>
      <c r="Z59" s="413">
        <v>0</v>
      </c>
      <c r="AA59" s="413">
        <v>0</v>
      </c>
      <c r="AB59" s="413">
        <v>0</v>
      </c>
      <c r="AC59" s="413">
        <v>0</v>
      </c>
      <c r="AD59" s="413">
        <v>0</v>
      </c>
      <c r="AE59" s="413">
        <v>0</v>
      </c>
      <c r="AF59" s="413">
        <v>0</v>
      </c>
      <c r="AG59" s="413">
        <v>0</v>
      </c>
      <c r="AH59" s="413">
        <v>0</v>
      </c>
      <c r="AI59" s="413">
        <v>0</v>
      </c>
      <c r="AJ59" s="413">
        <v>0</v>
      </c>
      <c r="AK59" s="413">
        <v>0</v>
      </c>
      <c r="AL59" s="413">
        <v>0</v>
      </c>
      <c r="AM59" s="413">
        <v>0</v>
      </c>
      <c r="AN59" s="413">
        <v>0</v>
      </c>
      <c r="AO59" s="413">
        <v>0</v>
      </c>
      <c r="AP59" s="413">
        <v>0</v>
      </c>
      <c r="AQ59" s="413">
        <v>0</v>
      </c>
      <c r="AR59" s="413">
        <v>0</v>
      </c>
      <c r="AS59" s="413">
        <v>0</v>
      </c>
      <c r="AT59" s="413">
        <v>0</v>
      </c>
      <c r="AU59" s="413"/>
      <c r="AV59" s="413"/>
      <c r="AW59" s="413"/>
      <c r="AX59" s="413"/>
      <c r="AY59" s="413"/>
      <c r="AZ59" s="413"/>
      <c r="BA59" s="413"/>
      <c r="BB59" s="413"/>
      <c r="BC59" s="413"/>
      <c r="BD59" s="413"/>
      <c r="BE59" s="413"/>
      <c r="BF59" s="413"/>
      <c r="BG59" s="413"/>
      <c r="BH59" s="413"/>
      <c r="BI59" s="413"/>
      <c r="BJ59" s="413"/>
      <c r="BK59" s="413"/>
      <c r="BL59" s="413"/>
      <c r="BM59" s="413"/>
      <c r="BN59" s="413"/>
      <c r="BO59" s="413"/>
      <c r="BP59" s="413"/>
      <c r="BQ59" s="413"/>
      <c r="BR59" s="413"/>
      <c r="BS59" s="413"/>
      <c r="BT59" s="413"/>
      <c r="BU59" s="413"/>
      <c r="BV59" s="413"/>
      <c r="BW59" s="413"/>
      <c r="BX59" s="413"/>
      <c r="BY59" s="413"/>
      <c r="BZ59" s="413"/>
      <c r="CA59" s="413"/>
      <c r="CB59" s="413"/>
    </row>
    <row r="60" spans="2:80" x14ac:dyDescent="0.25">
      <c r="B60" s="412">
        <v>99</v>
      </c>
      <c r="C60" s="302" t="s">
        <v>1474</v>
      </c>
      <c r="D60" s="302">
        <v>0</v>
      </c>
      <c r="E60" s="413">
        <v>0</v>
      </c>
      <c r="F60" s="413">
        <v>0</v>
      </c>
      <c r="G60" s="413">
        <v>0</v>
      </c>
      <c r="H60" s="413">
        <v>0</v>
      </c>
      <c r="I60" s="413">
        <v>0</v>
      </c>
      <c r="J60" s="413">
        <v>0</v>
      </c>
      <c r="K60" s="413">
        <v>0</v>
      </c>
      <c r="L60" s="413">
        <v>0</v>
      </c>
      <c r="M60" s="413">
        <v>0</v>
      </c>
      <c r="N60" s="413">
        <v>0</v>
      </c>
      <c r="O60" s="413">
        <v>0</v>
      </c>
      <c r="P60" s="413">
        <v>0</v>
      </c>
      <c r="Q60" s="413">
        <v>0</v>
      </c>
      <c r="R60" s="413">
        <v>0</v>
      </c>
      <c r="S60" s="413">
        <v>0</v>
      </c>
      <c r="T60" s="413">
        <v>0</v>
      </c>
      <c r="U60" s="413">
        <v>0</v>
      </c>
      <c r="V60" s="413">
        <v>0</v>
      </c>
      <c r="W60" s="413">
        <v>0</v>
      </c>
      <c r="X60" s="413">
        <v>0</v>
      </c>
      <c r="Y60" s="413">
        <v>0</v>
      </c>
      <c r="Z60" s="413">
        <v>0</v>
      </c>
      <c r="AA60" s="413">
        <v>0</v>
      </c>
      <c r="AB60" s="413">
        <v>0</v>
      </c>
      <c r="AC60" s="413">
        <v>0</v>
      </c>
      <c r="AD60" s="413">
        <v>0</v>
      </c>
      <c r="AE60" s="413">
        <v>0</v>
      </c>
      <c r="AF60" s="413">
        <v>0</v>
      </c>
      <c r="AG60" s="413">
        <v>0</v>
      </c>
      <c r="AH60" s="413">
        <v>0</v>
      </c>
      <c r="AI60" s="413">
        <v>0</v>
      </c>
      <c r="AJ60" s="413">
        <v>0</v>
      </c>
      <c r="AK60" s="413">
        <v>0</v>
      </c>
      <c r="AL60" s="413">
        <v>0</v>
      </c>
      <c r="AM60" s="413">
        <v>0</v>
      </c>
      <c r="AN60" s="413">
        <v>0</v>
      </c>
      <c r="AO60" s="413">
        <v>0</v>
      </c>
      <c r="AP60" s="413">
        <v>0</v>
      </c>
      <c r="AQ60" s="413">
        <v>0</v>
      </c>
      <c r="AR60" s="413">
        <v>0</v>
      </c>
      <c r="AS60" s="413">
        <v>0</v>
      </c>
      <c r="AT60" s="413">
        <v>0</v>
      </c>
      <c r="AU60" s="413"/>
      <c r="AV60" s="413"/>
      <c r="AW60" s="413"/>
      <c r="AX60" s="413"/>
      <c r="AY60" s="413"/>
      <c r="AZ60" s="413"/>
      <c r="BA60" s="413"/>
      <c r="BB60" s="413"/>
      <c r="BC60" s="413"/>
      <c r="BD60" s="413"/>
      <c r="BE60" s="413"/>
      <c r="BF60" s="413"/>
      <c r="BG60" s="413"/>
      <c r="BH60" s="413"/>
      <c r="BI60" s="413"/>
      <c r="BJ60" s="413"/>
      <c r="BK60" s="413"/>
      <c r="BL60" s="413"/>
      <c r="BM60" s="413"/>
      <c r="BN60" s="413"/>
      <c r="BO60" s="413"/>
      <c r="BP60" s="413"/>
      <c r="BQ60" s="413"/>
      <c r="BR60" s="413"/>
      <c r="BS60" s="413"/>
      <c r="BT60" s="413"/>
      <c r="BU60" s="413"/>
      <c r="BV60" s="413"/>
      <c r="BW60" s="413"/>
      <c r="BX60" s="413"/>
      <c r="BY60" s="413"/>
      <c r="BZ60" s="413"/>
      <c r="CA60" s="413"/>
      <c r="CB60" s="413"/>
    </row>
    <row r="61" spans="2:80" x14ac:dyDescent="0.25">
      <c r="B61" s="412">
        <v>100</v>
      </c>
      <c r="C61" s="302" t="s">
        <v>1475</v>
      </c>
      <c r="D61" s="302">
        <v>0</v>
      </c>
      <c r="E61" s="413">
        <v>0</v>
      </c>
      <c r="F61" s="413">
        <v>0</v>
      </c>
      <c r="G61" s="413">
        <v>0</v>
      </c>
      <c r="H61" s="413">
        <v>0</v>
      </c>
      <c r="I61" s="413">
        <v>0</v>
      </c>
      <c r="J61" s="413">
        <v>0</v>
      </c>
      <c r="K61" s="413">
        <v>0</v>
      </c>
      <c r="L61" s="413">
        <v>0</v>
      </c>
      <c r="M61" s="413">
        <v>0</v>
      </c>
      <c r="N61" s="413">
        <v>0</v>
      </c>
      <c r="O61" s="413">
        <v>0</v>
      </c>
      <c r="P61" s="413">
        <v>0</v>
      </c>
      <c r="Q61" s="413">
        <v>0</v>
      </c>
      <c r="R61" s="413">
        <v>0</v>
      </c>
      <c r="S61" s="413">
        <v>0</v>
      </c>
      <c r="T61" s="413">
        <v>0</v>
      </c>
      <c r="U61" s="413">
        <v>0</v>
      </c>
      <c r="V61" s="413">
        <v>0</v>
      </c>
      <c r="W61" s="413">
        <v>0</v>
      </c>
      <c r="X61" s="413">
        <v>0</v>
      </c>
      <c r="Y61" s="413">
        <v>0</v>
      </c>
      <c r="Z61" s="413">
        <v>0</v>
      </c>
      <c r="AA61" s="413">
        <v>0</v>
      </c>
      <c r="AB61" s="413">
        <v>0</v>
      </c>
      <c r="AC61" s="413">
        <v>0</v>
      </c>
      <c r="AD61" s="413">
        <v>0</v>
      </c>
      <c r="AE61" s="413">
        <v>0</v>
      </c>
      <c r="AF61" s="413">
        <v>0</v>
      </c>
      <c r="AG61" s="413">
        <v>0</v>
      </c>
      <c r="AH61" s="413">
        <v>0</v>
      </c>
      <c r="AI61" s="413">
        <v>0</v>
      </c>
      <c r="AJ61" s="413">
        <v>0</v>
      </c>
      <c r="AK61" s="413">
        <v>0</v>
      </c>
      <c r="AL61" s="413">
        <v>0</v>
      </c>
      <c r="AM61" s="413">
        <v>0</v>
      </c>
      <c r="AN61" s="413">
        <v>0</v>
      </c>
      <c r="AO61" s="413">
        <v>0</v>
      </c>
      <c r="AP61" s="413">
        <v>0</v>
      </c>
      <c r="AQ61" s="413">
        <v>0</v>
      </c>
      <c r="AR61" s="413">
        <v>0</v>
      </c>
      <c r="AS61" s="413">
        <v>0</v>
      </c>
      <c r="AT61" s="413">
        <v>0</v>
      </c>
      <c r="AU61" s="413"/>
      <c r="AV61" s="413"/>
      <c r="AW61" s="413"/>
      <c r="AX61" s="413"/>
      <c r="AY61" s="413"/>
      <c r="AZ61" s="413"/>
      <c r="BA61" s="413"/>
      <c r="BB61" s="413"/>
      <c r="BC61" s="413"/>
      <c r="BD61" s="413"/>
      <c r="BE61" s="413"/>
      <c r="BF61" s="413"/>
      <c r="BG61" s="413"/>
      <c r="BH61" s="413"/>
      <c r="BI61" s="413"/>
      <c r="BJ61" s="413"/>
      <c r="BK61" s="413"/>
      <c r="BL61" s="413"/>
      <c r="BM61" s="413"/>
      <c r="BN61" s="413"/>
      <c r="BO61" s="413"/>
      <c r="BP61" s="413"/>
      <c r="BQ61" s="413"/>
      <c r="BR61" s="413"/>
      <c r="BS61" s="413"/>
      <c r="BT61" s="413"/>
      <c r="BU61" s="413"/>
      <c r="BV61" s="413"/>
      <c r="BW61" s="413"/>
      <c r="BX61" s="413"/>
      <c r="BY61" s="413"/>
      <c r="BZ61" s="413"/>
      <c r="CA61" s="413"/>
      <c r="CB61" s="413"/>
    </row>
    <row r="62" spans="2:80" x14ac:dyDescent="0.25">
      <c r="B62" s="412">
        <v>101</v>
      </c>
      <c r="C62" s="302" t="s">
        <v>1476</v>
      </c>
      <c r="D62" s="302">
        <v>0</v>
      </c>
      <c r="E62" s="414">
        <v>0</v>
      </c>
      <c r="F62" s="414">
        <v>0</v>
      </c>
      <c r="G62" s="414">
        <v>0</v>
      </c>
      <c r="H62" s="414">
        <v>0</v>
      </c>
      <c r="I62" s="414">
        <v>0</v>
      </c>
      <c r="J62" s="414">
        <v>0</v>
      </c>
      <c r="K62" s="414">
        <v>0</v>
      </c>
      <c r="L62" s="414">
        <v>0</v>
      </c>
      <c r="M62" s="414">
        <v>0</v>
      </c>
      <c r="N62" s="414">
        <v>0</v>
      </c>
      <c r="O62" s="414">
        <v>0</v>
      </c>
      <c r="P62" s="414">
        <v>0</v>
      </c>
      <c r="Q62" s="414">
        <v>0</v>
      </c>
      <c r="R62" s="414">
        <v>0</v>
      </c>
      <c r="S62" s="414">
        <v>0</v>
      </c>
      <c r="T62" s="414">
        <v>0</v>
      </c>
      <c r="U62" s="414">
        <v>0</v>
      </c>
      <c r="V62" s="414">
        <v>0</v>
      </c>
      <c r="W62" s="414">
        <v>0</v>
      </c>
      <c r="X62" s="414">
        <v>0</v>
      </c>
      <c r="Y62" s="414">
        <v>0</v>
      </c>
      <c r="Z62" s="414">
        <v>0</v>
      </c>
      <c r="AA62" s="414">
        <v>0</v>
      </c>
      <c r="AB62" s="414">
        <v>0</v>
      </c>
      <c r="AC62" s="414">
        <v>0</v>
      </c>
      <c r="AD62" s="414">
        <v>0</v>
      </c>
      <c r="AE62" s="414">
        <v>0</v>
      </c>
      <c r="AF62" s="414">
        <v>0</v>
      </c>
      <c r="AG62" s="414">
        <v>0</v>
      </c>
      <c r="AH62" s="414">
        <v>0</v>
      </c>
      <c r="AI62" s="414">
        <v>0</v>
      </c>
      <c r="AJ62" s="414">
        <v>0</v>
      </c>
      <c r="AK62" s="414">
        <v>0</v>
      </c>
      <c r="AL62" s="414">
        <v>0</v>
      </c>
      <c r="AM62" s="414">
        <v>0</v>
      </c>
      <c r="AN62" s="414">
        <v>0</v>
      </c>
      <c r="AO62" s="414">
        <v>0</v>
      </c>
      <c r="AP62" s="414">
        <v>0</v>
      </c>
      <c r="AQ62" s="414">
        <v>0</v>
      </c>
      <c r="AR62" s="414">
        <v>0</v>
      </c>
      <c r="AS62" s="414">
        <v>0</v>
      </c>
      <c r="AT62" s="414">
        <v>0</v>
      </c>
      <c r="AU62" s="414"/>
      <c r="AV62" s="414"/>
      <c r="AW62" s="414"/>
      <c r="AX62" s="414"/>
      <c r="AY62" s="414"/>
      <c r="AZ62" s="414"/>
      <c r="BA62" s="414"/>
      <c r="BB62" s="414"/>
      <c r="BC62" s="414"/>
      <c r="BD62" s="414"/>
      <c r="BE62" s="414"/>
      <c r="BF62" s="414"/>
      <c r="BG62" s="414"/>
      <c r="BH62" s="414"/>
      <c r="BI62" s="414"/>
      <c r="BJ62" s="414"/>
      <c r="BK62" s="414"/>
      <c r="BL62" s="414"/>
      <c r="BM62" s="414"/>
      <c r="BN62" s="414"/>
      <c r="BO62" s="414"/>
      <c r="BP62" s="414"/>
      <c r="BQ62" s="414"/>
      <c r="BR62" s="414"/>
      <c r="BS62" s="414"/>
      <c r="BT62" s="414"/>
      <c r="BU62" s="414"/>
      <c r="BV62" s="414"/>
      <c r="BW62" s="414"/>
      <c r="BX62" s="414"/>
      <c r="BY62" s="414"/>
      <c r="BZ62" s="414"/>
      <c r="CA62" s="414"/>
      <c r="CB62" s="414"/>
    </row>
    <row r="63" spans="2:80" x14ac:dyDescent="0.25">
      <c r="B63" s="412">
        <v>102</v>
      </c>
      <c r="C63" s="302" t="s">
        <v>1477</v>
      </c>
      <c r="D63" s="302">
        <v>0</v>
      </c>
      <c r="E63" s="414">
        <v>0</v>
      </c>
      <c r="F63" s="414">
        <v>0</v>
      </c>
      <c r="G63" s="414">
        <v>0</v>
      </c>
      <c r="H63" s="414">
        <v>0</v>
      </c>
      <c r="I63" s="414">
        <v>0</v>
      </c>
      <c r="J63" s="414">
        <v>0</v>
      </c>
      <c r="K63" s="414">
        <v>0</v>
      </c>
      <c r="L63" s="414">
        <v>0</v>
      </c>
      <c r="M63" s="414">
        <v>0</v>
      </c>
      <c r="N63" s="414">
        <v>0</v>
      </c>
      <c r="O63" s="414">
        <v>0</v>
      </c>
      <c r="P63" s="414">
        <v>0</v>
      </c>
      <c r="Q63" s="414">
        <v>0</v>
      </c>
      <c r="R63" s="414">
        <v>0</v>
      </c>
      <c r="S63" s="414">
        <v>0</v>
      </c>
      <c r="T63" s="414">
        <v>0</v>
      </c>
      <c r="U63" s="414">
        <v>0</v>
      </c>
      <c r="V63" s="414">
        <v>0</v>
      </c>
      <c r="W63" s="414">
        <v>0</v>
      </c>
      <c r="X63" s="414">
        <v>0</v>
      </c>
      <c r="Y63" s="414">
        <v>0</v>
      </c>
      <c r="Z63" s="414">
        <v>0</v>
      </c>
      <c r="AA63" s="414">
        <v>0</v>
      </c>
      <c r="AB63" s="414">
        <v>0</v>
      </c>
      <c r="AC63" s="414">
        <v>0</v>
      </c>
      <c r="AD63" s="414">
        <v>0</v>
      </c>
      <c r="AE63" s="414">
        <v>0</v>
      </c>
      <c r="AF63" s="414">
        <v>0</v>
      </c>
      <c r="AG63" s="414">
        <v>0</v>
      </c>
      <c r="AH63" s="414">
        <v>0</v>
      </c>
      <c r="AI63" s="414">
        <v>0</v>
      </c>
      <c r="AJ63" s="414">
        <v>0</v>
      </c>
      <c r="AK63" s="414">
        <v>0</v>
      </c>
      <c r="AL63" s="414">
        <v>0</v>
      </c>
      <c r="AM63" s="414">
        <v>0</v>
      </c>
      <c r="AN63" s="414">
        <v>0</v>
      </c>
      <c r="AO63" s="414">
        <v>0</v>
      </c>
      <c r="AP63" s="414">
        <v>0</v>
      </c>
      <c r="AQ63" s="414">
        <v>0</v>
      </c>
      <c r="AR63" s="414">
        <v>0</v>
      </c>
      <c r="AS63" s="414">
        <v>0</v>
      </c>
      <c r="AT63" s="414">
        <v>0</v>
      </c>
      <c r="AU63" s="414"/>
      <c r="AV63" s="414"/>
      <c r="AW63" s="414"/>
      <c r="AX63" s="414"/>
      <c r="AY63" s="414"/>
      <c r="AZ63" s="414"/>
      <c r="BA63" s="414"/>
      <c r="BB63" s="414"/>
      <c r="BC63" s="414"/>
      <c r="BD63" s="414"/>
      <c r="BE63" s="414"/>
      <c r="BF63" s="414"/>
      <c r="BG63" s="414"/>
      <c r="BH63" s="414"/>
      <c r="BI63" s="414"/>
      <c r="BJ63" s="414"/>
      <c r="BK63" s="414"/>
      <c r="BL63" s="414"/>
      <c r="BM63" s="414"/>
      <c r="BN63" s="414"/>
      <c r="BO63" s="414"/>
      <c r="BP63" s="414"/>
      <c r="BQ63" s="414"/>
      <c r="BR63" s="414"/>
      <c r="BS63" s="414"/>
      <c r="BT63" s="414"/>
      <c r="BU63" s="414"/>
      <c r="BV63" s="414"/>
      <c r="BW63" s="414"/>
      <c r="BX63" s="414"/>
      <c r="BY63" s="414"/>
      <c r="BZ63" s="414"/>
      <c r="CA63" s="414"/>
      <c r="CB63" s="414"/>
    </row>
    <row r="64" spans="2:80" x14ac:dyDescent="0.25">
      <c r="B64" s="412">
        <v>103</v>
      </c>
      <c r="C64" s="302" t="s">
        <v>1478</v>
      </c>
      <c r="D64" s="302">
        <v>0</v>
      </c>
      <c r="E64" s="413">
        <v>0</v>
      </c>
      <c r="F64" s="413">
        <v>0</v>
      </c>
      <c r="G64" s="413">
        <v>0</v>
      </c>
      <c r="H64" s="413">
        <v>0</v>
      </c>
      <c r="I64" s="413">
        <v>0</v>
      </c>
      <c r="J64" s="413">
        <v>0</v>
      </c>
      <c r="K64" s="413">
        <v>0</v>
      </c>
      <c r="L64" s="413">
        <v>0</v>
      </c>
      <c r="M64" s="413">
        <v>0</v>
      </c>
      <c r="N64" s="413">
        <v>0</v>
      </c>
      <c r="O64" s="413">
        <v>0</v>
      </c>
      <c r="P64" s="413">
        <v>0</v>
      </c>
      <c r="Q64" s="413">
        <v>0</v>
      </c>
      <c r="R64" s="413">
        <v>0</v>
      </c>
      <c r="S64" s="413">
        <v>0</v>
      </c>
      <c r="T64" s="413">
        <v>0</v>
      </c>
      <c r="U64" s="413">
        <v>0</v>
      </c>
      <c r="V64" s="413">
        <v>0</v>
      </c>
      <c r="W64" s="413">
        <v>0</v>
      </c>
      <c r="X64" s="413">
        <v>0</v>
      </c>
      <c r="Y64" s="413">
        <v>0</v>
      </c>
      <c r="Z64" s="413">
        <v>0</v>
      </c>
      <c r="AA64" s="413">
        <v>0</v>
      </c>
      <c r="AB64" s="413">
        <v>0</v>
      </c>
      <c r="AC64" s="413">
        <v>0</v>
      </c>
      <c r="AD64" s="413">
        <v>0</v>
      </c>
      <c r="AE64" s="413">
        <v>0</v>
      </c>
      <c r="AF64" s="413">
        <v>0</v>
      </c>
      <c r="AG64" s="413">
        <v>0</v>
      </c>
      <c r="AH64" s="413">
        <v>0</v>
      </c>
      <c r="AI64" s="413">
        <v>0</v>
      </c>
      <c r="AJ64" s="413">
        <v>0</v>
      </c>
      <c r="AK64" s="413">
        <v>0</v>
      </c>
      <c r="AL64" s="413">
        <v>0</v>
      </c>
      <c r="AM64" s="413">
        <v>0</v>
      </c>
      <c r="AN64" s="413">
        <v>0</v>
      </c>
      <c r="AO64" s="413">
        <v>0</v>
      </c>
      <c r="AP64" s="413">
        <v>0</v>
      </c>
      <c r="AQ64" s="413">
        <v>0</v>
      </c>
      <c r="AR64" s="413">
        <v>0</v>
      </c>
      <c r="AS64" s="413">
        <v>0</v>
      </c>
      <c r="AT64" s="413">
        <v>0</v>
      </c>
      <c r="AU64" s="413"/>
      <c r="AV64" s="413"/>
      <c r="AW64" s="413"/>
      <c r="AX64" s="413"/>
      <c r="AY64" s="413"/>
      <c r="AZ64" s="413"/>
      <c r="BA64" s="413"/>
      <c r="BB64" s="413"/>
      <c r="BC64" s="413"/>
      <c r="BD64" s="413"/>
      <c r="BE64" s="413"/>
      <c r="BF64" s="413"/>
      <c r="BG64" s="413"/>
      <c r="BH64" s="413"/>
      <c r="BI64" s="413"/>
      <c r="BJ64" s="413"/>
      <c r="BK64" s="413"/>
      <c r="BL64" s="413"/>
      <c r="BM64" s="413"/>
      <c r="BN64" s="413"/>
      <c r="BO64" s="413"/>
      <c r="BP64" s="413"/>
      <c r="BQ64" s="413"/>
      <c r="BR64" s="413"/>
      <c r="BS64" s="413"/>
      <c r="BT64" s="413"/>
      <c r="BU64" s="413"/>
      <c r="BV64" s="413"/>
      <c r="BW64" s="413"/>
      <c r="BX64" s="413"/>
      <c r="BY64" s="413"/>
      <c r="BZ64" s="413"/>
      <c r="CA64" s="413"/>
      <c r="CB64" s="413"/>
    </row>
    <row r="65" spans="1:80" x14ac:dyDescent="0.25">
      <c r="B65" s="412">
        <v>104</v>
      </c>
      <c r="C65" s="302" t="s">
        <v>306</v>
      </c>
      <c r="D65" s="302">
        <v>0</v>
      </c>
      <c r="E65" s="413">
        <v>0</v>
      </c>
      <c r="F65" s="413">
        <v>0</v>
      </c>
      <c r="G65" s="413">
        <v>0</v>
      </c>
      <c r="H65" s="413">
        <v>0</v>
      </c>
      <c r="I65" s="413">
        <v>0</v>
      </c>
      <c r="J65" s="413">
        <v>0</v>
      </c>
      <c r="K65" s="413">
        <v>0</v>
      </c>
      <c r="L65" s="413">
        <v>0</v>
      </c>
      <c r="M65" s="413">
        <v>0</v>
      </c>
      <c r="N65" s="413">
        <v>0</v>
      </c>
      <c r="O65" s="413">
        <v>0</v>
      </c>
      <c r="P65" s="413">
        <v>0</v>
      </c>
      <c r="Q65" s="413">
        <v>0</v>
      </c>
      <c r="R65" s="413">
        <v>0</v>
      </c>
      <c r="S65" s="413">
        <v>0</v>
      </c>
      <c r="T65" s="413">
        <v>0</v>
      </c>
      <c r="U65" s="413">
        <v>0</v>
      </c>
      <c r="V65" s="413">
        <v>0</v>
      </c>
      <c r="W65" s="413">
        <v>0</v>
      </c>
      <c r="X65" s="413">
        <v>0</v>
      </c>
      <c r="Y65" s="413">
        <v>0</v>
      </c>
      <c r="Z65" s="413">
        <v>0</v>
      </c>
      <c r="AA65" s="413">
        <v>0</v>
      </c>
      <c r="AB65" s="413">
        <v>0</v>
      </c>
      <c r="AC65" s="413">
        <v>0</v>
      </c>
      <c r="AD65" s="413">
        <v>0</v>
      </c>
      <c r="AE65" s="413">
        <v>0</v>
      </c>
      <c r="AF65" s="413">
        <v>0</v>
      </c>
      <c r="AG65" s="413">
        <v>0</v>
      </c>
      <c r="AH65" s="413">
        <v>0</v>
      </c>
      <c r="AI65" s="413">
        <v>0</v>
      </c>
      <c r="AJ65" s="413">
        <v>0</v>
      </c>
      <c r="AK65" s="413">
        <v>0</v>
      </c>
      <c r="AL65" s="413">
        <v>0</v>
      </c>
      <c r="AM65" s="413">
        <v>0</v>
      </c>
      <c r="AN65" s="413">
        <v>0</v>
      </c>
      <c r="AO65" s="413">
        <v>0</v>
      </c>
      <c r="AP65" s="413">
        <v>0</v>
      </c>
      <c r="AQ65" s="413">
        <v>0</v>
      </c>
      <c r="AR65" s="413">
        <v>0</v>
      </c>
      <c r="AS65" s="413">
        <v>0</v>
      </c>
      <c r="AT65" s="413">
        <v>0</v>
      </c>
      <c r="AU65" s="413"/>
      <c r="AV65" s="413"/>
      <c r="AW65" s="413"/>
      <c r="AX65" s="413"/>
      <c r="AY65" s="413"/>
      <c r="AZ65" s="413"/>
      <c r="BA65" s="413"/>
      <c r="BB65" s="413"/>
      <c r="BC65" s="413"/>
      <c r="BD65" s="413"/>
      <c r="BE65" s="413"/>
      <c r="BF65" s="413"/>
      <c r="BG65" s="413"/>
      <c r="BH65" s="413"/>
      <c r="BI65" s="413"/>
      <c r="BJ65" s="413"/>
      <c r="BK65" s="413"/>
      <c r="BL65" s="413"/>
      <c r="BM65" s="413"/>
      <c r="BN65" s="413"/>
      <c r="BO65" s="413"/>
      <c r="BP65" s="413"/>
      <c r="BQ65" s="413"/>
      <c r="BR65" s="413"/>
      <c r="BS65" s="413"/>
      <c r="BT65" s="413"/>
      <c r="BU65" s="413"/>
      <c r="BV65" s="413"/>
      <c r="BW65" s="413"/>
      <c r="BX65" s="413"/>
      <c r="BY65" s="413"/>
      <c r="BZ65" s="413"/>
      <c r="CA65" s="413"/>
      <c r="CB65" s="413"/>
    </row>
    <row r="66" spans="1:80" x14ac:dyDescent="0.25">
      <c r="B66" s="412">
        <v>107</v>
      </c>
      <c r="C66" s="302" t="s">
        <v>391</v>
      </c>
      <c r="D66" s="302">
        <v>0</v>
      </c>
      <c r="E66" s="413">
        <v>0</v>
      </c>
      <c r="F66" s="413">
        <v>0</v>
      </c>
      <c r="G66" s="413">
        <v>0</v>
      </c>
      <c r="H66" s="413">
        <v>0</v>
      </c>
      <c r="I66" s="413">
        <v>0</v>
      </c>
      <c r="J66" s="413">
        <v>0</v>
      </c>
      <c r="K66" s="413">
        <v>0</v>
      </c>
      <c r="L66" s="413">
        <v>0</v>
      </c>
      <c r="M66" s="413">
        <v>0</v>
      </c>
      <c r="N66" s="413">
        <v>0</v>
      </c>
      <c r="O66" s="413">
        <v>0</v>
      </c>
      <c r="P66" s="413">
        <v>0</v>
      </c>
      <c r="Q66" s="413">
        <v>0</v>
      </c>
      <c r="R66" s="413">
        <v>0</v>
      </c>
      <c r="S66" s="413">
        <v>0</v>
      </c>
      <c r="T66" s="413">
        <v>0</v>
      </c>
      <c r="U66" s="413">
        <v>0</v>
      </c>
      <c r="V66" s="413">
        <v>0</v>
      </c>
      <c r="W66" s="413">
        <v>0</v>
      </c>
      <c r="X66" s="413">
        <v>0</v>
      </c>
      <c r="Y66" s="413">
        <v>0</v>
      </c>
      <c r="Z66" s="413">
        <v>0</v>
      </c>
      <c r="AA66" s="413">
        <v>0</v>
      </c>
      <c r="AB66" s="413">
        <v>0</v>
      </c>
      <c r="AC66" s="413">
        <v>0</v>
      </c>
      <c r="AD66" s="413">
        <v>0</v>
      </c>
      <c r="AE66" s="413">
        <v>0</v>
      </c>
      <c r="AF66" s="413">
        <v>0</v>
      </c>
      <c r="AG66" s="413">
        <v>0</v>
      </c>
      <c r="AH66" s="413">
        <v>0</v>
      </c>
      <c r="AI66" s="413">
        <v>0</v>
      </c>
      <c r="AJ66" s="413">
        <v>0</v>
      </c>
      <c r="AK66" s="413">
        <v>0</v>
      </c>
      <c r="AL66" s="413">
        <v>0</v>
      </c>
      <c r="AM66" s="413">
        <v>0</v>
      </c>
      <c r="AN66" s="413">
        <v>0</v>
      </c>
      <c r="AO66" s="413">
        <v>0</v>
      </c>
      <c r="AP66" s="413">
        <v>0</v>
      </c>
      <c r="AQ66" s="413">
        <v>0</v>
      </c>
      <c r="AR66" s="413">
        <v>0</v>
      </c>
      <c r="AS66" s="413">
        <v>0</v>
      </c>
      <c r="AT66" s="413">
        <v>0</v>
      </c>
      <c r="AU66" s="413"/>
      <c r="AV66" s="413"/>
      <c r="AW66" s="413"/>
      <c r="AX66" s="413"/>
      <c r="AY66" s="413"/>
      <c r="AZ66" s="413"/>
      <c r="BA66" s="413"/>
      <c r="BB66" s="413"/>
      <c r="BC66" s="413"/>
      <c r="BD66" s="413"/>
      <c r="BE66" s="413"/>
      <c r="BF66" s="413"/>
      <c r="BG66" s="413"/>
      <c r="BH66" s="413"/>
      <c r="BI66" s="413"/>
      <c r="BJ66" s="413"/>
      <c r="BK66" s="413"/>
      <c r="BL66" s="413"/>
      <c r="BM66" s="413"/>
      <c r="BN66" s="413"/>
      <c r="BO66" s="413"/>
      <c r="BP66" s="413"/>
      <c r="BQ66" s="413"/>
      <c r="BR66" s="413"/>
      <c r="BS66" s="413"/>
      <c r="BT66" s="413"/>
      <c r="BU66" s="413"/>
      <c r="BV66" s="413"/>
      <c r="BW66" s="413"/>
      <c r="BX66" s="413"/>
      <c r="BY66" s="413"/>
      <c r="BZ66" s="413"/>
      <c r="CA66" s="413"/>
      <c r="CB66" s="413"/>
    </row>
    <row r="67" spans="1:80" x14ac:dyDescent="0.25">
      <c r="B67" s="412">
        <v>108</v>
      </c>
      <c r="C67" s="302" t="s">
        <v>392</v>
      </c>
      <c r="D67" s="302">
        <v>0</v>
      </c>
      <c r="E67" s="413">
        <v>0</v>
      </c>
      <c r="F67" s="413">
        <v>0</v>
      </c>
      <c r="G67" s="413">
        <v>0</v>
      </c>
      <c r="H67" s="413">
        <v>0</v>
      </c>
      <c r="I67" s="413">
        <v>0</v>
      </c>
      <c r="J67" s="413">
        <v>0</v>
      </c>
      <c r="K67" s="413">
        <v>0</v>
      </c>
      <c r="L67" s="413">
        <v>0</v>
      </c>
      <c r="M67" s="413">
        <v>0</v>
      </c>
      <c r="N67" s="413">
        <v>0</v>
      </c>
      <c r="O67" s="413">
        <v>0</v>
      </c>
      <c r="P67" s="413">
        <v>0</v>
      </c>
      <c r="Q67" s="413">
        <v>0</v>
      </c>
      <c r="R67" s="413">
        <v>0</v>
      </c>
      <c r="S67" s="413">
        <v>0</v>
      </c>
      <c r="T67" s="413">
        <v>0</v>
      </c>
      <c r="U67" s="413">
        <v>0</v>
      </c>
      <c r="V67" s="413">
        <v>0</v>
      </c>
      <c r="W67" s="413">
        <v>0</v>
      </c>
      <c r="X67" s="413">
        <v>0</v>
      </c>
      <c r="Y67" s="413">
        <v>0</v>
      </c>
      <c r="Z67" s="413">
        <v>0</v>
      </c>
      <c r="AA67" s="413">
        <v>0</v>
      </c>
      <c r="AB67" s="413">
        <v>0</v>
      </c>
      <c r="AC67" s="413">
        <v>0</v>
      </c>
      <c r="AD67" s="413">
        <v>0</v>
      </c>
      <c r="AE67" s="413">
        <v>0</v>
      </c>
      <c r="AF67" s="413">
        <v>0</v>
      </c>
      <c r="AG67" s="413">
        <v>0</v>
      </c>
      <c r="AH67" s="413">
        <v>0</v>
      </c>
      <c r="AI67" s="413">
        <v>0</v>
      </c>
      <c r="AJ67" s="413">
        <v>0</v>
      </c>
      <c r="AK67" s="413">
        <v>0</v>
      </c>
      <c r="AL67" s="413">
        <v>0</v>
      </c>
      <c r="AM67" s="413">
        <v>0</v>
      </c>
      <c r="AN67" s="413">
        <v>0</v>
      </c>
      <c r="AO67" s="413">
        <v>0</v>
      </c>
      <c r="AP67" s="413">
        <v>0</v>
      </c>
      <c r="AQ67" s="413">
        <v>0</v>
      </c>
      <c r="AR67" s="413">
        <v>0</v>
      </c>
      <c r="AS67" s="413">
        <v>0</v>
      </c>
      <c r="AT67" s="413">
        <v>0</v>
      </c>
      <c r="AU67" s="413"/>
      <c r="AV67" s="413"/>
      <c r="AW67" s="413"/>
      <c r="AX67" s="413"/>
      <c r="AY67" s="413"/>
      <c r="AZ67" s="413"/>
      <c r="BA67" s="413"/>
      <c r="BB67" s="413"/>
      <c r="BC67" s="413"/>
      <c r="BD67" s="413"/>
      <c r="BE67" s="413"/>
      <c r="BF67" s="413"/>
      <c r="BG67" s="413"/>
      <c r="BH67" s="413"/>
      <c r="BI67" s="413"/>
      <c r="BJ67" s="413"/>
      <c r="BK67" s="413"/>
      <c r="BL67" s="413"/>
      <c r="BM67" s="413"/>
      <c r="BN67" s="413"/>
      <c r="BO67" s="413"/>
      <c r="BP67" s="413"/>
      <c r="BQ67" s="413"/>
      <c r="BR67" s="413"/>
      <c r="BS67" s="413"/>
      <c r="BT67" s="413"/>
      <c r="BU67" s="413"/>
      <c r="BV67" s="413"/>
      <c r="BW67" s="413"/>
      <c r="BX67" s="413"/>
      <c r="BY67" s="413"/>
      <c r="BZ67" s="413"/>
      <c r="CA67" s="413"/>
      <c r="CB67" s="413"/>
    </row>
    <row r="68" spans="1:80" x14ac:dyDescent="0.25">
      <c r="B68" s="412">
        <v>147</v>
      </c>
      <c r="C68" s="302" t="s">
        <v>307</v>
      </c>
      <c r="D68" s="302">
        <v>0</v>
      </c>
      <c r="E68" s="413">
        <v>0</v>
      </c>
      <c r="F68" s="413">
        <v>0</v>
      </c>
      <c r="G68" s="413">
        <v>0</v>
      </c>
      <c r="H68" s="413">
        <v>0</v>
      </c>
      <c r="I68" s="413">
        <v>0</v>
      </c>
      <c r="J68" s="413">
        <v>0</v>
      </c>
      <c r="K68" s="413">
        <v>0</v>
      </c>
      <c r="L68" s="413">
        <v>0</v>
      </c>
      <c r="M68" s="413">
        <v>0</v>
      </c>
      <c r="N68" s="413">
        <v>0</v>
      </c>
      <c r="O68" s="413">
        <v>0</v>
      </c>
      <c r="P68" s="413">
        <v>0</v>
      </c>
      <c r="Q68" s="413">
        <v>0</v>
      </c>
      <c r="R68" s="413">
        <v>0</v>
      </c>
      <c r="S68" s="413">
        <v>0</v>
      </c>
      <c r="T68" s="413">
        <v>0</v>
      </c>
      <c r="U68" s="413">
        <v>0</v>
      </c>
      <c r="V68" s="413">
        <v>0</v>
      </c>
      <c r="W68" s="413">
        <v>0</v>
      </c>
      <c r="X68" s="413">
        <v>0</v>
      </c>
      <c r="Y68" s="413">
        <v>0</v>
      </c>
      <c r="Z68" s="413">
        <v>0</v>
      </c>
      <c r="AA68" s="413">
        <v>0</v>
      </c>
      <c r="AB68" s="413">
        <v>0</v>
      </c>
      <c r="AC68" s="413">
        <v>0</v>
      </c>
      <c r="AD68" s="413">
        <v>0</v>
      </c>
      <c r="AE68" s="413">
        <v>0</v>
      </c>
      <c r="AF68" s="413">
        <v>0</v>
      </c>
      <c r="AG68" s="413">
        <v>0</v>
      </c>
      <c r="AH68" s="413">
        <v>0</v>
      </c>
      <c r="AI68" s="413">
        <v>0</v>
      </c>
      <c r="AJ68" s="413">
        <v>0</v>
      </c>
      <c r="AK68" s="413">
        <v>0</v>
      </c>
      <c r="AL68" s="413">
        <v>0</v>
      </c>
      <c r="AM68" s="413">
        <v>0</v>
      </c>
      <c r="AN68" s="413">
        <v>0</v>
      </c>
      <c r="AO68" s="413">
        <v>0</v>
      </c>
      <c r="AP68" s="413">
        <v>0</v>
      </c>
      <c r="AQ68" s="413">
        <v>0</v>
      </c>
      <c r="AR68" s="413">
        <v>0</v>
      </c>
      <c r="AS68" s="413">
        <v>0</v>
      </c>
      <c r="AT68" s="413">
        <v>0</v>
      </c>
      <c r="AU68" s="413"/>
      <c r="AV68" s="413"/>
      <c r="AW68" s="413"/>
      <c r="AX68" s="413"/>
      <c r="AY68" s="413"/>
      <c r="AZ68" s="413"/>
      <c r="BA68" s="413"/>
      <c r="BB68" s="413"/>
      <c r="BC68" s="413"/>
      <c r="BD68" s="413"/>
      <c r="BE68" s="413"/>
      <c r="BF68" s="413"/>
      <c r="BG68" s="413"/>
      <c r="BH68" s="413"/>
      <c r="BI68" s="413"/>
      <c r="BJ68" s="413"/>
      <c r="BK68" s="413"/>
      <c r="BL68" s="413"/>
      <c r="BM68" s="413"/>
      <c r="BN68" s="413"/>
      <c r="BO68" s="413"/>
      <c r="BP68" s="413"/>
      <c r="BQ68" s="413"/>
      <c r="BR68" s="413"/>
      <c r="BS68" s="413"/>
      <c r="BT68" s="413"/>
      <c r="BU68" s="413"/>
      <c r="BV68" s="413"/>
      <c r="BW68" s="413"/>
      <c r="BX68" s="413"/>
      <c r="BY68" s="413"/>
      <c r="BZ68" s="413"/>
      <c r="CA68" s="413"/>
      <c r="CB68" s="413"/>
    </row>
    <row r="69" spans="1:80" x14ac:dyDescent="0.25">
      <c r="B69" s="412">
        <v>148</v>
      </c>
      <c r="C69" s="302" t="s">
        <v>308</v>
      </c>
      <c r="D69" s="302">
        <v>0</v>
      </c>
      <c r="E69" s="413">
        <v>0</v>
      </c>
      <c r="F69" s="413">
        <v>0</v>
      </c>
      <c r="G69" s="413">
        <v>0</v>
      </c>
      <c r="H69" s="413">
        <v>0</v>
      </c>
      <c r="I69" s="413">
        <v>0</v>
      </c>
      <c r="J69" s="413">
        <v>0</v>
      </c>
      <c r="K69" s="413">
        <v>0</v>
      </c>
      <c r="L69" s="413">
        <v>0</v>
      </c>
      <c r="M69" s="413">
        <v>0</v>
      </c>
      <c r="N69" s="413">
        <v>0</v>
      </c>
      <c r="O69" s="413">
        <v>0</v>
      </c>
      <c r="P69" s="413">
        <v>0</v>
      </c>
      <c r="Q69" s="413">
        <v>0</v>
      </c>
      <c r="R69" s="413">
        <v>0</v>
      </c>
      <c r="S69" s="413">
        <v>0</v>
      </c>
      <c r="T69" s="413">
        <v>0</v>
      </c>
      <c r="U69" s="413">
        <v>0</v>
      </c>
      <c r="V69" s="413">
        <v>0</v>
      </c>
      <c r="W69" s="413">
        <v>0</v>
      </c>
      <c r="X69" s="413">
        <v>0</v>
      </c>
      <c r="Y69" s="413">
        <v>0</v>
      </c>
      <c r="Z69" s="413">
        <v>0</v>
      </c>
      <c r="AA69" s="413">
        <v>0</v>
      </c>
      <c r="AB69" s="413">
        <v>0</v>
      </c>
      <c r="AC69" s="413">
        <v>0</v>
      </c>
      <c r="AD69" s="413">
        <v>0</v>
      </c>
      <c r="AE69" s="413">
        <v>0</v>
      </c>
      <c r="AF69" s="413">
        <v>0</v>
      </c>
      <c r="AG69" s="413">
        <v>0</v>
      </c>
      <c r="AH69" s="413">
        <v>0</v>
      </c>
      <c r="AI69" s="413">
        <v>0</v>
      </c>
      <c r="AJ69" s="413">
        <v>0</v>
      </c>
      <c r="AK69" s="413">
        <v>0</v>
      </c>
      <c r="AL69" s="413">
        <v>0</v>
      </c>
      <c r="AM69" s="413">
        <v>0</v>
      </c>
      <c r="AN69" s="413">
        <v>0</v>
      </c>
      <c r="AO69" s="413">
        <v>0</v>
      </c>
      <c r="AP69" s="413">
        <v>0</v>
      </c>
      <c r="AQ69" s="413">
        <v>0</v>
      </c>
      <c r="AR69" s="413">
        <v>0</v>
      </c>
      <c r="AS69" s="413">
        <v>0</v>
      </c>
      <c r="AT69" s="413">
        <v>0</v>
      </c>
      <c r="AU69" s="413"/>
      <c r="AV69" s="413"/>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row>
    <row r="70" spans="1:80" x14ac:dyDescent="0.25">
      <c r="B70" s="412">
        <v>149</v>
      </c>
      <c r="C70" s="302" t="s">
        <v>309</v>
      </c>
      <c r="D70" s="302">
        <v>0</v>
      </c>
      <c r="E70" s="413">
        <v>0</v>
      </c>
      <c r="F70" s="413">
        <v>0</v>
      </c>
      <c r="G70" s="413">
        <v>0</v>
      </c>
      <c r="H70" s="413">
        <v>0</v>
      </c>
      <c r="I70" s="413">
        <v>0</v>
      </c>
      <c r="J70" s="413">
        <v>0</v>
      </c>
      <c r="K70" s="413">
        <v>0</v>
      </c>
      <c r="L70" s="413">
        <v>0</v>
      </c>
      <c r="M70" s="413">
        <v>0</v>
      </c>
      <c r="N70" s="413">
        <v>0</v>
      </c>
      <c r="O70" s="413">
        <v>0</v>
      </c>
      <c r="P70" s="413">
        <v>0</v>
      </c>
      <c r="Q70" s="413">
        <v>0</v>
      </c>
      <c r="R70" s="413">
        <v>0</v>
      </c>
      <c r="S70" s="413">
        <v>0</v>
      </c>
      <c r="T70" s="413">
        <v>0</v>
      </c>
      <c r="U70" s="413">
        <v>0</v>
      </c>
      <c r="V70" s="413">
        <v>0</v>
      </c>
      <c r="W70" s="413">
        <v>0</v>
      </c>
      <c r="X70" s="413">
        <v>0</v>
      </c>
      <c r="Y70" s="413">
        <v>0</v>
      </c>
      <c r="Z70" s="413">
        <v>0</v>
      </c>
      <c r="AA70" s="413">
        <v>0</v>
      </c>
      <c r="AB70" s="413">
        <v>0</v>
      </c>
      <c r="AC70" s="413">
        <v>0</v>
      </c>
      <c r="AD70" s="413">
        <v>0</v>
      </c>
      <c r="AE70" s="413">
        <v>0</v>
      </c>
      <c r="AF70" s="413">
        <v>0</v>
      </c>
      <c r="AG70" s="413">
        <v>0</v>
      </c>
      <c r="AH70" s="413">
        <v>0</v>
      </c>
      <c r="AI70" s="413">
        <v>0</v>
      </c>
      <c r="AJ70" s="413">
        <v>0</v>
      </c>
      <c r="AK70" s="413">
        <v>0</v>
      </c>
      <c r="AL70" s="413">
        <v>0</v>
      </c>
      <c r="AM70" s="413">
        <v>0</v>
      </c>
      <c r="AN70" s="413">
        <v>0</v>
      </c>
      <c r="AO70" s="413">
        <v>0</v>
      </c>
      <c r="AP70" s="413">
        <v>0</v>
      </c>
      <c r="AQ70" s="413">
        <v>0</v>
      </c>
      <c r="AR70" s="413">
        <v>0</v>
      </c>
      <c r="AS70" s="413">
        <v>0</v>
      </c>
      <c r="AT70" s="413">
        <v>0</v>
      </c>
      <c r="AU70" s="413"/>
      <c r="AV70" s="413"/>
      <c r="AW70" s="413"/>
      <c r="AX70" s="413"/>
      <c r="AY70" s="413"/>
      <c r="AZ70" s="413"/>
      <c r="BA70" s="413"/>
      <c r="BB70" s="413"/>
      <c r="BC70" s="413"/>
      <c r="BD70" s="413"/>
      <c r="BE70" s="413"/>
      <c r="BF70" s="413"/>
      <c r="BG70" s="413"/>
      <c r="BH70" s="413"/>
      <c r="BI70" s="413"/>
      <c r="BJ70" s="413"/>
      <c r="BK70" s="413"/>
      <c r="BL70" s="413"/>
      <c r="BM70" s="413"/>
      <c r="BN70" s="413"/>
      <c r="BO70" s="413"/>
      <c r="BP70" s="413"/>
      <c r="BQ70" s="413"/>
      <c r="BR70" s="413"/>
      <c r="BS70" s="413"/>
      <c r="BT70" s="413"/>
      <c r="BU70" s="413"/>
      <c r="BV70" s="413"/>
      <c r="BW70" s="413"/>
      <c r="BX70" s="413"/>
      <c r="BY70" s="413"/>
      <c r="BZ70" s="413"/>
      <c r="CA70" s="413"/>
      <c r="CB70" s="413"/>
    </row>
    <row r="71" spans="1:80" x14ac:dyDescent="0.25">
      <c r="B71" s="412">
        <v>150</v>
      </c>
      <c r="C71" s="302" t="s">
        <v>310</v>
      </c>
      <c r="D71" s="302">
        <v>0</v>
      </c>
      <c r="E71" s="413">
        <v>0</v>
      </c>
      <c r="F71" s="413">
        <v>0</v>
      </c>
      <c r="G71" s="413">
        <v>0</v>
      </c>
      <c r="H71" s="413">
        <v>0</v>
      </c>
      <c r="I71" s="413">
        <v>0</v>
      </c>
      <c r="J71" s="413">
        <v>0</v>
      </c>
      <c r="K71" s="413">
        <v>0</v>
      </c>
      <c r="L71" s="413">
        <v>0</v>
      </c>
      <c r="M71" s="413">
        <v>0</v>
      </c>
      <c r="N71" s="413">
        <v>0</v>
      </c>
      <c r="O71" s="413">
        <v>0</v>
      </c>
      <c r="P71" s="413">
        <v>0</v>
      </c>
      <c r="Q71" s="413">
        <v>0</v>
      </c>
      <c r="R71" s="413">
        <v>0</v>
      </c>
      <c r="S71" s="413">
        <v>0</v>
      </c>
      <c r="T71" s="413">
        <v>0</v>
      </c>
      <c r="U71" s="413">
        <v>0</v>
      </c>
      <c r="V71" s="413">
        <v>0</v>
      </c>
      <c r="W71" s="413">
        <v>0</v>
      </c>
      <c r="X71" s="413">
        <v>0</v>
      </c>
      <c r="Y71" s="413">
        <v>0</v>
      </c>
      <c r="Z71" s="413">
        <v>0</v>
      </c>
      <c r="AA71" s="413">
        <v>0</v>
      </c>
      <c r="AB71" s="413">
        <v>0</v>
      </c>
      <c r="AC71" s="413">
        <v>0</v>
      </c>
      <c r="AD71" s="413">
        <v>0</v>
      </c>
      <c r="AE71" s="413">
        <v>0</v>
      </c>
      <c r="AF71" s="413">
        <v>0</v>
      </c>
      <c r="AG71" s="413">
        <v>0</v>
      </c>
      <c r="AH71" s="413">
        <v>0</v>
      </c>
      <c r="AI71" s="413">
        <v>0</v>
      </c>
      <c r="AJ71" s="413">
        <v>0</v>
      </c>
      <c r="AK71" s="413">
        <v>0</v>
      </c>
      <c r="AL71" s="413">
        <v>0</v>
      </c>
      <c r="AM71" s="413">
        <v>0</v>
      </c>
      <c r="AN71" s="413">
        <v>0</v>
      </c>
      <c r="AO71" s="413">
        <v>0</v>
      </c>
      <c r="AP71" s="413">
        <v>0</v>
      </c>
      <c r="AQ71" s="413">
        <v>0</v>
      </c>
      <c r="AR71" s="413">
        <v>0</v>
      </c>
      <c r="AS71" s="413">
        <v>0</v>
      </c>
      <c r="AT71" s="413">
        <v>0</v>
      </c>
      <c r="AU71" s="413"/>
      <c r="AV71" s="413"/>
      <c r="AW71" s="413"/>
      <c r="AX71" s="413"/>
      <c r="AY71" s="413"/>
      <c r="AZ71" s="413"/>
      <c r="BA71" s="413"/>
      <c r="BB71" s="413"/>
      <c r="BC71" s="413"/>
      <c r="BD71" s="413"/>
      <c r="BE71" s="413"/>
      <c r="BF71" s="413"/>
      <c r="BG71" s="413"/>
      <c r="BH71" s="413"/>
      <c r="BI71" s="413"/>
      <c r="BJ71" s="413"/>
      <c r="BK71" s="413"/>
      <c r="BL71" s="413"/>
      <c r="BM71" s="413"/>
      <c r="BN71" s="413"/>
      <c r="BO71" s="413"/>
      <c r="BP71" s="413"/>
      <c r="BQ71" s="413"/>
      <c r="BR71" s="413"/>
      <c r="BS71" s="413"/>
      <c r="BT71" s="413"/>
      <c r="BU71" s="413"/>
      <c r="BV71" s="413"/>
      <c r="BW71" s="413"/>
      <c r="BX71" s="413"/>
      <c r="BY71" s="413"/>
      <c r="BZ71" s="413"/>
      <c r="CA71" s="413"/>
      <c r="CB71" s="413"/>
    </row>
    <row r="72" spans="1:80" x14ac:dyDescent="0.25">
      <c r="B72" s="412">
        <v>171</v>
      </c>
      <c r="C72" s="302" t="e">
        <v>#VALUE!</v>
      </c>
      <c r="D72" s="302">
        <v>0</v>
      </c>
      <c r="E72" s="413">
        <v>0</v>
      </c>
      <c r="F72" s="413">
        <v>0</v>
      </c>
      <c r="G72" s="413">
        <v>0</v>
      </c>
      <c r="H72" s="413">
        <v>0</v>
      </c>
      <c r="I72" s="413">
        <v>0</v>
      </c>
      <c r="J72" s="413">
        <v>0</v>
      </c>
      <c r="K72" s="413">
        <v>0</v>
      </c>
      <c r="L72" s="413">
        <v>0</v>
      </c>
      <c r="M72" s="413">
        <v>0</v>
      </c>
      <c r="N72" s="413">
        <v>0</v>
      </c>
      <c r="O72" s="413">
        <v>0</v>
      </c>
      <c r="P72" s="413">
        <v>0</v>
      </c>
      <c r="Q72" s="413">
        <v>0</v>
      </c>
      <c r="R72" s="413">
        <v>0</v>
      </c>
      <c r="S72" s="413">
        <v>0</v>
      </c>
      <c r="T72" s="413">
        <v>0</v>
      </c>
      <c r="U72" s="413">
        <v>0</v>
      </c>
      <c r="V72" s="413">
        <v>0</v>
      </c>
      <c r="W72" s="413">
        <v>0</v>
      </c>
      <c r="X72" s="413">
        <v>0</v>
      </c>
      <c r="Y72" s="413">
        <v>0</v>
      </c>
      <c r="Z72" s="413">
        <v>0</v>
      </c>
      <c r="AA72" s="413">
        <v>0</v>
      </c>
      <c r="AB72" s="413">
        <v>0</v>
      </c>
      <c r="AC72" s="413">
        <v>0</v>
      </c>
      <c r="AD72" s="413">
        <v>0</v>
      </c>
      <c r="AE72" s="413">
        <v>0</v>
      </c>
      <c r="AF72" s="413">
        <v>0</v>
      </c>
      <c r="AG72" s="413">
        <v>0</v>
      </c>
      <c r="AH72" s="413">
        <v>0</v>
      </c>
      <c r="AI72" s="413">
        <v>0</v>
      </c>
      <c r="AJ72" s="413">
        <v>0</v>
      </c>
      <c r="AK72" s="413">
        <v>0</v>
      </c>
      <c r="AL72" s="413">
        <v>0</v>
      </c>
      <c r="AM72" s="413">
        <v>0</v>
      </c>
      <c r="AN72" s="413">
        <v>0</v>
      </c>
      <c r="AO72" s="413">
        <v>0</v>
      </c>
      <c r="AP72" s="413">
        <v>0</v>
      </c>
      <c r="AQ72" s="413">
        <v>0</v>
      </c>
      <c r="AR72" s="413">
        <v>0</v>
      </c>
      <c r="AS72" s="413">
        <v>0</v>
      </c>
      <c r="AT72" s="413">
        <v>0</v>
      </c>
      <c r="AU72" s="413"/>
      <c r="AV72" s="413"/>
      <c r="AW72" s="413"/>
      <c r="AX72" s="413"/>
      <c r="AY72" s="413"/>
      <c r="AZ72" s="413"/>
      <c r="BA72" s="413"/>
      <c r="BB72" s="413"/>
      <c r="BC72" s="413"/>
      <c r="BD72" s="413"/>
      <c r="BE72" s="413"/>
      <c r="BF72" s="413"/>
      <c r="BG72" s="413"/>
      <c r="BH72" s="413"/>
      <c r="BI72" s="413"/>
      <c r="BJ72" s="413"/>
      <c r="BK72" s="413"/>
      <c r="BL72" s="413"/>
      <c r="BM72" s="413"/>
      <c r="BN72" s="413"/>
      <c r="BO72" s="413"/>
      <c r="BP72" s="413"/>
      <c r="BQ72" s="413"/>
      <c r="BR72" s="413"/>
      <c r="BS72" s="413"/>
      <c r="BT72" s="413"/>
      <c r="BU72" s="413"/>
      <c r="BV72" s="413"/>
      <c r="BW72" s="413"/>
      <c r="BX72" s="413"/>
      <c r="BY72" s="413"/>
      <c r="BZ72" s="413"/>
      <c r="CA72" s="413"/>
      <c r="CB72" s="413"/>
    </row>
    <row r="73" spans="1:80" x14ac:dyDescent="0.25">
      <c r="B73" s="412">
        <v>191</v>
      </c>
      <c r="C73" s="302" t="s">
        <v>1479</v>
      </c>
      <c r="D73" s="302">
        <v>0</v>
      </c>
      <c r="E73" s="413">
        <v>0</v>
      </c>
      <c r="F73" s="413">
        <v>0</v>
      </c>
      <c r="G73" s="413">
        <v>0</v>
      </c>
      <c r="H73" s="413">
        <v>0</v>
      </c>
      <c r="I73" s="413">
        <v>0</v>
      </c>
      <c r="J73" s="413">
        <v>0</v>
      </c>
      <c r="K73" s="413">
        <v>0</v>
      </c>
      <c r="L73" s="413">
        <v>0</v>
      </c>
      <c r="M73" s="413">
        <v>0</v>
      </c>
      <c r="N73" s="413">
        <v>0</v>
      </c>
      <c r="O73" s="413">
        <v>0</v>
      </c>
      <c r="P73" s="413">
        <v>0</v>
      </c>
      <c r="Q73" s="413">
        <v>0</v>
      </c>
      <c r="R73" s="413">
        <v>0</v>
      </c>
      <c r="S73" s="413">
        <v>0</v>
      </c>
      <c r="T73" s="413">
        <v>0</v>
      </c>
      <c r="U73" s="413">
        <v>0</v>
      </c>
      <c r="V73" s="413">
        <v>0</v>
      </c>
      <c r="W73" s="413">
        <v>0</v>
      </c>
      <c r="X73" s="413">
        <v>0</v>
      </c>
      <c r="Y73" s="413">
        <v>0</v>
      </c>
      <c r="Z73" s="413">
        <v>0</v>
      </c>
      <c r="AA73" s="413">
        <v>0</v>
      </c>
      <c r="AB73" s="413">
        <v>0</v>
      </c>
      <c r="AC73" s="413">
        <v>0</v>
      </c>
      <c r="AD73" s="413">
        <v>0</v>
      </c>
      <c r="AE73" s="413">
        <v>0</v>
      </c>
      <c r="AF73" s="413">
        <v>0</v>
      </c>
      <c r="AG73" s="413">
        <v>0</v>
      </c>
      <c r="AH73" s="413">
        <v>0</v>
      </c>
      <c r="AI73" s="413">
        <v>0</v>
      </c>
      <c r="AJ73" s="413">
        <v>0</v>
      </c>
      <c r="AK73" s="413">
        <v>0</v>
      </c>
      <c r="AL73" s="413">
        <v>0</v>
      </c>
      <c r="AM73" s="413">
        <v>0</v>
      </c>
      <c r="AN73" s="413">
        <v>0</v>
      </c>
      <c r="AO73" s="413">
        <v>0</v>
      </c>
      <c r="AP73" s="413">
        <v>0</v>
      </c>
      <c r="AQ73" s="413">
        <v>0</v>
      </c>
      <c r="AR73" s="413">
        <v>0</v>
      </c>
      <c r="AS73" s="413">
        <v>0</v>
      </c>
      <c r="AT73" s="413">
        <v>0</v>
      </c>
      <c r="AU73" s="413"/>
      <c r="AV73" s="413"/>
      <c r="AW73" s="413"/>
      <c r="AX73" s="413"/>
      <c r="AY73" s="413"/>
      <c r="AZ73" s="413"/>
      <c r="BA73" s="413"/>
      <c r="BB73" s="413"/>
      <c r="BC73" s="413"/>
      <c r="BD73" s="413"/>
      <c r="BE73" s="413"/>
      <c r="BF73" s="413"/>
      <c r="BG73" s="413"/>
      <c r="BH73" s="413"/>
      <c r="BI73" s="413"/>
      <c r="BJ73" s="413"/>
      <c r="BK73" s="413"/>
      <c r="BL73" s="413"/>
      <c r="BM73" s="413"/>
      <c r="BN73" s="413"/>
      <c r="BO73" s="413"/>
      <c r="BP73" s="413"/>
      <c r="BQ73" s="413"/>
      <c r="BR73" s="413"/>
      <c r="BS73" s="413"/>
      <c r="BT73" s="413"/>
      <c r="BU73" s="413"/>
      <c r="BV73" s="413"/>
      <c r="BW73" s="413"/>
      <c r="BX73" s="413"/>
      <c r="BY73" s="413"/>
      <c r="BZ73" s="413"/>
      <c r="CA73" s="413"/>
      <c r="CB73" s="413"/>
    </row>
    <row r="74" spans="1:80" x14ac:dyDescent="0.25">
      <c r="B74" s="412">
        <v>192</v>
      </c>
      <c r="C74" s="302" t="s">
        <v>1480</v>
      </c>
      <c r="D74" s="302">
        <v>0</v>
      </c>
      <c r="E74" s="413">
        <v>0</v>
      </c>
      <c r="F74" s="413">
        <v>0</v>
      </c>
      <c r="G74" s="413">
        <v>0</v>
      </c>
      <c r="H74" s="413">
        <v>0</v>
      </c>
      <c r="I74" s="413">
        <v>0</v>
      </c>
      <c r="J74" s="413">
        <v>0</v>
      </c>
      <c r="K74" s="413">
        <v>0</v>
      </c>
      <c r="L74" s="413">
        <v>0</v>
      </c>
      <c r="M74" s="413">
        <v>0</v>
      </c>
      <c r="N74" s="413">
        <v>0</v>
      </c>
      <c r="O74" s="413">
        <v>0</v>
      </c>
      <c r="P74" s="413">
        <v>0</v>
      </c>
      <c r="Q74" s="413">
        <v>0</v>
      </c>
      <c r="R74" s="413">
        <v>0</v>
      </c>
      <c r="S74" s="413">
        <v>0</v>
      </c>
      <c r="T74" s="413">
        <v>0</v>
      </c>
      <c r="U74" s="413">
        <v>0</v>
      </c>
      <c r="V74" s="413">
        <v>0</v>
      </c>
      <c r="W74" s="413">
        <v>0</v>
      </c>
      <c r="X74" s="413">
        <v>0</v>
      </c>
      <c r="Y74" s="413">
        <v>0</v>
      </c>
      <c r="Z74" s="413">
        <v>0</v>
      </c>
      <c r="AA74" s="413">
        <v>0</v>
      </c>
      <c r="AB74" s="413">
        <v>0</v>
      </c>
      <c r="AC74" s="413">
        <v>0</v>
      </c>
      <c r="AD74" s="413">
        <v>0</v>
      </c>
      <c r="AE74" s="413">
        <v>0</v>
      </c>
      <c r="AF74" s="413">
        <v>0</v>
      </c>
      <c r="AG74" s="413">
        <v>0</v>
      </c>
      <c r="AH74" s="413">
        <v>0</v>
      </c>
      <c r="AI74" s="413">
        <v>0</v>
      </c>
      <c r="AJ74" s="413">
        <v>0</v>
      </c>
      <c r="AK74" s="413">
        <v>0</v>
      </c>
      <c r="AL74" s="413">
        <v>0</v>
      </c>
      <c r="AM74" s="413">
        <v>0</v>
      </c>
      <c r="AN74" s="413">
        <v>0</v>
      </c>
      <c r="AO74" s="413">
        <v>0</v>
      </c>
      <c r="AP74" s="413">
        <v>0</v>
      </c>
      <c r="AQ74" s="413">
        <v>0</v>
      </c>
      <c r="AR74" s="413">
        <v>0</v>
      </c>
      <c r="AS74" s="413">
        <v>0</v>
      </c>
      <c r="AT74" s="413">
        <v>0</v>
      </c>
      <c r="AU74" s="413"/>
      <c r="AV74" s="413"/>
      <c r="AW74" s="413"/>
      <c r="AX74" s="413"/>
      <c r="AY74" s="413"/>
      <c r="AZ74" s="413"/>
      <c r="BA74" s="413"/>
      <c r="BB74" s="413"/>
      <c r="BC74" s="413"/>
      <c r="BD74" s="413"/>
      <c r="BE74" s="413"/>
      <c r="BF74" s="413"/>
      <c r="BG74" s="413"/>
      <c r="BH74" s="413"/>
      <c r="BI74" s="413"/>
      <c r="BJ74" s="413"/>
      <c r="BK74" s="413"/>
      <c r="BL74" s="413"/>
      <c r="BM74" s="413"/>
      <c r="BN74" s="413"/>
      <c r="BO74" s="413"/>
      <c r="BP74" s="413"/>
      <c r="BQ74" s="413"/>
      <c r="BR74" s="413"/>
      <c r="BS74" s="413"/>
      <c r="BT74" s="413"/>
      <c r="BU74" s="413"/>
      <c r="BV74" s="413"/>
      <c r="BW74" s="413"/>
      <c r="BX74" s="413"/>
      <c r="BY74" s="413"/>
      <c r="BZ74" s="413"/>
      <c r="CA74" s="413"/>
      <c r="CB74" s="413"/>
    </row>
    <row r="75" spans="1:80" x14ac:dyDescent="0.25">
      <c r="A75" s="302">
        <v>193</v>
      </c>
      <c r="B75" s="412">
        <v>193</v>
      </c>
      <c r="C75" s="302" t="s">
        <v>311</v>
      </c>
      <c r="D75" s="302">
        <v>335268</v>
      </c>
      <c r="E75" s="413">
        <v>0</v>
      </c>
      <c r="F75" s="413">
        <v>0</v>
      </c>
      <c r="G75" s="413">
        <v>5573840</v>
      </c>
      <c r="H75" s="413">
        <v>150000</v>
      </c>
      <c r="I75" s="413">
        <v>0</v>
      </c>
      <c r="J75" s="413">
        <v>0</v>
      </c>
      <c r="K75" s="413">
        <v>0</v>
      </c>
      <c r="L75" s="413">
        <v>5074742</v>
      </c>
      <c r="M75" s="413">
        <v>2500000</v>
      </c>
      <c r="N75" s="413">
        <v>116329</v>
      </c>
      <c r="O75" s="413">
        <v>0</v>
      </c>
      <c r="P75" s="413">
        <v>0</v>
      </c>
      <c r="Q75" s="413">
        <v>0</v>
      </c>
      <c r="R75" s="413">
        <v>0</v>
      </c>
      <c r="S75" s="413">
        <v>0</v>
      </c>
      <c r="T75" s="413">
        <v>0</v>
      </c>
      <c r="U75" s="413">
        <v>0</v>
      </c>
      <c r="V75" s="413">
        <v>351085</v>
      </c>
      <c r="W75" s="413">
        <v>0</v>
      </c>
      <c r="X75" s="413">
        <v>212815</v>
      </c>
      <c r="Y75" s="413">
        <v>0</v>
      </c>
      <c r="Z75" s="413">
        <v>0</v>
      </c>
      <c r="AA75" s="413">
        <v>4883209</v>
      </c>
      <c r="AB75" s="413">
        <v>0</v>
      </c>
      <c r="AC75" s="413">
        <v>0</v>
      </c>
      <c r="AD75" s="413">
        <v>0</v>
      </c>
      <c r="AE75" s="413">
        <v>0</v>
      </c>
      <c r="AF75" s="413">
        <v>3246028</v>
      </c>
      <c r="AG75" s="413">
        <v>0</v>
      </c>
      <c r="AH75" s="413">
        <v>0</v>
      </c>
      <c r="AI75" s="413">
        <v>0</v>
      </c>
      <c r="AJ75" s="413">
        <v>0</v>
      </c>
      <c r="AK75" s="413">
        <v>126497</v>
      </c>
      <c r="AL75" s="413">
        <v>0</v>
      </c>
      <c r="AM75" s="413">
        <v>0</v>
      </c>
      <c r="AN75" s="413">
        <v>0</v>
      </c>
      <c r="AO75" s="413">
        <v>0</v>
      </c>
      <c r="AP75" s="413">
        <v>0</v>
      </c>
      <c r="AQ75" s="413">
        <v>0</v>
      </c>
      <c r="AR75" s="413">
        <v>774854</v>
      </c>
      <c r="AS75" s="413">
        <v>285581</v>
      </c>
      <c r="AT75" s="413">
        <v>0</v>
      </c>
      <c r="AU75" s="413"/>
      <c r="AV75" s="413"/>
      <c r="AW75" s="413"/>
      <c r="AX75" s="413"/>
      <c r="AY75" s="413"/>
      <c r="AZ75" s="413"/>
      <c r="BA75" s="413"/>
      <c r="BB75" s="413"/>
      <c r="BC75" s="413"/>
      <c r="BD75" s="413"/>
      <c r="BE75" s="413"/>
      <c r="BF75" s="413"/>
      <c r="BG75" s="413"/>
      <c r="BH75" s="413"/>
      <c r="BI75" s="413"/>
      <c r="BJ75" s="413"/>
      <c r="BK75" s="413"/>
      <c r="BL75" s="413"/>
      <c r="BM75" s="413"/>
      <c r="BN75" s="413"/>
      <c r="BO75" s="413"/>
      <c r="BP75" s="413"/>
      <c r="BQ75" s="413"/>
      <c r="BR75" s="413"/>
      <c r="BS75" s="413"/>
      <c r="BT75" s="413"/>
      <c r="BU75" s="413"/>
      <c r="BV75" s="413"/>
      <c r="BW75" s="413"/>
      <c r="BX75" s="413"/>
      <c r="BY75" s="413"/>
      <c r="BZ75" s="413"/>
      <c r="CA75" s="413"/>
      <c r="CB75" s="413"/>
    </row>
    <row r="76" spans="1:80" x14ac:dyDescent="0.25">
      <c r="B76" s="412">
        <v>194</v>
      </c>
      <c r="C76" s="302" t="s">
        <v>312</v>
      </c>
      <c r="D76" s="302">
        <v>0</v>
      </c>
      <c r="E76" s="413">
        <v>0</v>
      </c>
      <c r="F76" s="413">
        <v>0</v>
      </c>
      <c r="G76" s="413">
        <v>0</v>
      </c>
      <c r="H76" s="413">
        <v>0</v>
      </c>
      <c r="I76" s="413">
        <v>0</v>
      </c>
      <c r="J76" s="413">
        <v>0</v>
      </c>
      <c r="K76" s="413">
        <v>0</v>
      </c>
      <c r="L76" s="413">
        <v>0</v>
      </c>
      <c r="M76" s="413">
        <v>0</v>
      </c>
      <c r="N76" s="413">
        <v>0</v>
      </c>
      <c r="O76" s="413">
        <v>0</v>
      </c>
      <c r="P76" s="413">
        <v>0</v>
      </c>
      <c r="Q76" s="413">
        <v>0</v>
      </c>
      <c r="R76" s="413">
        <v>0</v>
      </c>
      <c r="S76" s="413">
        <v>0</v>
      </c>
      <c r="T76" s="413">
        <v>0</v>
      </c>
      <c r="U76" s="413">
        <v>0</v>
      </c>
      <c r="V76" s="413">
        <v>0</v>
      </c>
      <c r="W76" s="413">
        <v>0</v>
      </c>
      <c r="X76" s="413">
        <v>0</v>
      </c>
      <c r="Y76" s="413">
        <v>0</v>
      </c>
      <c r="Z76" s="413">
        <v>0</v>
      </c>
      <c r="AA76" s="413">
        <v>0</v>
      </c>
      <c r="AB76" s="413">
        <v>0</v>
      </c>
      <c r="AC76" s="413">
        <v>0</v>
      </c>
      <c r="AD76" s="413">
        <v>0</v>
      </c>
      <c r="AE76" s="413">
        <v>0</v>
      </c>
      <c r="AF76" s="413">
        <v>0</v>
      </c>
      <c r="AG76" s="413">
        <v>0</v>
      </c>
      <c r="AH76" s="413">
        <v>0</v>
      </c>
      <c r="AI76" s="413">
        <v>0</v>
      </c>
      <c r="AJ76" s="413">
        <v>0</v>
      </c>
      <c r="AK76" s="413">
        <v>0</v>
      </c>
      <c r="AL76" s="413">
        <v>0</v>
      </c>
      <c r="AM76" s="413">
        <v>0</v>
      </c>
      <c r="AN76" s="413">
        <v>0</v>
      </c>
      <c r="AO76" s="413">
        <v>0</v>
      </c>
      <c r="AP76" s="413">
        <v>0</v>
      </c>
      <c r="AQ76" s="413">
        <v>0</v>
      </c>
      <c r="AR76" s="413">
        <v>0</v>
      </c>
      <c r="AS76" s="413">
        <v>0</v>
      </c>
      <c r="AT76" s="413">
        <v>0</v>
      </c>
      <c r="AU76" s="413"/>
      <c r="AV76" s="413"/>
      <c r="AW76" s="413"/>
      <c r="AX76" s="413"/>
      <c r="AY76" s="413"/>
      <c r="AZ76" s="413"/>
      <c r="BA76" s="413"/>
      <c r="BB76" s="413"/>
      <c r="BC76" s="413"/>
      <c r="BD76" s="413"/>
      <c r="BE76" s="413"/>
      <c r="BF76" s="413"/>
      <c r="BG76" s="413"/>
      <c r="BH76" s="413"/>
      <c r="BI76" s="413"/>
      <c r="BJ76" s="413"/>
      <c r="BK76" s="413"/>
      <c r="BL76" s="413"/>
      <c r="BM76" s="413"/>
      <c r="BN76" s="413"/>
      <c r="BO76" s="413"/>
      <c r="BP76" s="413"/>
      <c r="BQ76" s="413"/>
      <c r="BR76" s="413"/>
      <c r="BS76" s="413"/>
      <c r="BT76" s="413"/>
      <c r="BU76" s="413"/>
      <c r="BV76" s="413"/>
      <c r="BW76" s="413"/>
      <c r="BX76" s="413"/>
      <c r="BY76" s="413"/>
      <c r="BZ76" s="413"/>
      <c r="CA76" s="413"/>
      <c r="CB76" s="413"/>
    </row>
    <row r="77" spans="1:80" x14ac:dyDescent="0.25">
      <c r="B77" s="412">
        <v>231</v>
      </c>
      <c r="C77" s="302" t="s">
        <v>313</v>
      </c>
      <c r="D77" s="302">
        <v>0</v>
      </c>
      <c r="E77" s="413">
        <v>0</v>
      </c>
      <c r="F77" s="413">
        <v>0</v>
      </c>
      <c r="G77" s="413">
        <v>0</v>
      </c>
      <c r="H77" s="413">
        <v>0</v>
      </c>
      <c r="I77" s="413">
        <v>0</v>
      </c>
      <c r="J77" s="413">
        <v>0</v>
      </c>
      <c r="K77" s="413">
        <v>0</v>
      </c>
      <c r="L77" s="413">
        <v>0</v>
      </c>
      <c r="M77" s="413">
        <v>0</v>
      </c>
      <c r="N77" s="413">
        <v>0</v>
      </c>
      <c r="O77" s="413">
        <v>0</v>
      </c>
      <c r="P77" s="413">
        <v>0</v>
      </c>
      <c r="Q77" s="413">
        <v>0</v>
      </c>
      <c r="R77" s="413">
        <v>0</v>
      </c>
      <c r="S77" s="413">
        <v>0</v>
      </c>
      <c r="T77" s="413">
        <v>0</v>
      </c>
      <c r="U77" s="413">
        <v>0</v>
      </c>
      <c r="V77" s="413">
        <v>0</v>
      </c>
      <c r="W77" s="413">
        <v>0</v>
      </c>
      <c r="X77" s="413">
        <v>0</v>
      </c>
      <c r="Y77" s="413">
        <v>0</v>
      </c>
      <c r="Z77" s="413">
        <v>0</v>
      </c>
      <c r="AA77" s="413">
        <v>0</v>
      </c>
      <c r="AB77" s="413">
        <v>0</v>
      </c>
      <c r="AC77" s="413">
        <v>0</v>
      </c>
      <c r="AD77" s="413">
        <v>0</v>
      </c>
      <c r="AE77" s="413">
        <v>0</v>
      </c>
      <c r="AF77" s="413">
        <v>0</v>
      </c>
      <c r="AG77" s="413">
        <v>0</v>
      </c>
      <c r="AH77" s="413">
        <v>0</v>
      </c>
      <c r="AI77" s="413">
        <v>0</v>
      </c>
      <c r="AJ77" s="413">
        <v>0</v>
      </c>
      <c r="AK77" s="413">
        <v>0</v>
      </c>
      <c r="AL77" s="413">
        <v>0</v>
      </c>
      <c r="AM77" s="413">
        <v>0</v>
      </c>
      <c r="AN77" s="413">
        <v>0</v>
      </c>
      <c r="AO77" s="413">
        <v>0</v>
      </c>
      <c r="AP77" s="413">
        <v>0</v>
      </c>
      <c r="AQ77" s="413">
        <v>0</v>
      </c>
      <c r="AR77" s="413">
        <v>0</v>
      </c>
      <c r="AS77" s="413">
        <v>0</v>
      </c>
      <c r="AT77" s="413">
        <v>0</v>
      </c>
      <c r="AU77" s="413"/>
      <c r="AV77" s="413"/>
      <c r="AW77" s="413"/>
      <c r="AX77" s="413"/>
      <c r="AY77" s="413"/>
      <c r="AZ77" s="413"/>
      <c r="BA77" s="413"/>
      <c r="BB77" s="413"/>
      <c r="BC77" s="413"/>
      <c r="BD77" s="413"/>
      <c r="BE77" s="413"/>
      <c r="BF77" s="413"/>
      <c r="BG77" s="413"/>
      <c r="BH77" s="413"/>
      <c r="BI77" s="413"/>
      <c r="BJ77" s="413"/>
      <c r="BK77" s="413"/>
      <c r="BL77" s="413"/>
      <c r="BM77" s="413"/>
      <c r="BN77" s="413"/>
      <c r="BO77" s="413"/>
      <c r="BP77" s="413"/>
      <c r="BQ77" s="413"/>
      <c r="BR77" s="413"/>
      <c r="BS77" s="413"/>
      <c r="BT77" s="413"/>
      <c r="BU77" s="413"/>
      <c r="BV77" s="413"/>
      <c r="BW77" s="413"/>
      <c r="BX77" s="413"/>
      <c r="BY77" s="413"/>
      <c r="BZ77" s="413"/>
      <c r="CA77" s="413"/>
      <c r="CB77" s="413"/>
    </row>
    <row r="78" spans="1:80" x14ac:dyDescent="0.25">
      <c r="B78" s="412">
        <v>251</v>
      </c>
      <c r="C78" s="302" t="s">
        <v>314</v>
      </c>
      <c r="D78" s="302">
        <v>0</v>
      </c>
      <c r="E78" s="413">
        <v>0</v>
      </c>
      <c r="F78" s="413">
        <v>0</v>
      </c>
      <c r="G78" s="413">
        <v>0</v>
      </c>
      <c r="H78" s="413">
        <v>0</v>
      </c>
      <c r="I78" s="413">
        <v>0</v>
      </c>
      <c r="J78" s="413">
        <v>0</v>
      </c>
      <c r="K78" s="413">
        <v>0</v>
      </c>
      <c r="L78" s="413">
        <v>0</v>
      </c>
      <c r="M78" s="413">
        <v>0</v>
      </c>
      <c r="N78" s="413">
        <v>0</v>
      </c>
      <c r="O78" s="413">
        <v>0</v>
      </c>
      <c r="P78" s="413">
        <v>0</v>
      </c>
      <c r="Q78" s="413">
        <v>0</v>
      </c>
      <c r="R78" s="413">
        <v>0</v>
      </c>
      <c r="S78" s="413">
        <v>0</v>
      </c>
      <c r="T78" s="413">
        <v>0</v>
      </c>
      <c r="U78" s="413">
        <v>0</v>
      </c>
      <c r="V78" s="413">
        <v>0</v>
      </c>
      <c r="W78" s="413">
        <v>0</v>
      </c>
      <c r="X78" s="413">
        <v>0</v>
      </c>
      <c r="Y78" s="413">
        <v>0</v>
      </c>
      <c r="Z78" s="413">
        <v>0</v>
      </c>
      <c r="AA78" s="413">
        <v>0</v>
      </c>
      <c r="AB78" s="413">
        <v>0</v>
      </c>
      <c r="AC78" s="413">
        <v>0</v>
      </c>
      <c r="AD78" s="413">
        <v>0</v>
      </c>
      <c r="AE78" s="413">
        <v>0</v>
      </c>
      <c r="AF78" s="413">
        <v>0</v>
      </c>
      <c r="AG78" s="413">
        <v>0</v>
      </c>
      <c r="AH78" s="413">
        <v>0</v>
      </c>
      <c r="AI78" s="413">
        <v>0</v>
      </c>
      <c r="AJ78" s="413">
        <v>0</v>
      </c>
      <c r="AK78" s="413">
        <v>0</v>
      </c>
      <c r="AL78" s="413">
        <v>0</v>
      </c>
      <c r="AM78" s="413">
        <v>0</v>
      </c>
      <c r="AN78" s="413">
        <v>0</v>
      </c>
      <c r="AO78" s="413">
        <v>0</v>
      </c>
      <c r="AP78" s="413">
        <v>0</v>
      </c>
      <c r="AQ78" s="413">
        <v>0</v>
      </c>
      <c r="AR78" s="413">
        <v>0</v>
      </c>
      <c r="AS78" s="413">
        <v>0</v>
      </c>
      <c r="AT78" s="413">
        <v>0</v>
      </c>
      <c r="AU78" s="413"/>
      <c r="AV78" s="413"/>
      <c r="AW78" s="413"/>
      <c r="AX78" s="413"/>
      <c r="AY78" s="413"/>
      <c r="AZ78" s="413"/>
      <c r="BA78" s="413"/>
      <c r="BB78" s="413"/>
      <c r="BC78" s="413"/>
      <c r="BD78" s="413"/>
      <c r="BE78" s="413"/>
      <c r="BF78" s="413"/>
      <c r="BG78" s="413"/>
      <c r="BH78" s="413"/>
      <c r="BI78" s="413"/>
      <c r="BJ78" s="413"/>
      <c r="BK78" s="413"/>
      <c r="BL78" s="413"/>
      <c r="BM78" s="413"/>
      <c r="BN78" s="413"/>
      <c r="BO78" s="413"/>
      <c r="BP78" s="413"/>
      <c r="BQ78" s="413"/>
      <c r="BR78" s="413"/>
      <c r="BS78" s="413"/>
      <c r="BT78" s="413"/>
      <c r="BU78" s="413"/>
      <c r="BV78" s="413"/>
      <c r="BW78" s="413"/>
      <c r="BX78" s="413"/>
      <c r="BY78" s="413"/>
      <c r="BZ78" s="413"/>
      <c r="CA78" s="413"/>
      <c r="CB78" s="413"/>
    </row>
    <row r="79" spans="1:80" x14ac:dyDescent="0.25">
      <c r="A79" s="302">
        <v>252</v>
      </c>
      <c r="B79" s="412">
        <v>252</v>
      </c>
      <c r="C79" s="302" t="s">
        <v>103</v>
      </c>
      <c r="D79" s="302">
        <v>0</v>
      </c>
      <c r="E79" s="413">
        <v>0</v>
      </c>
      <c r="F79" s="413">
        <v>1272</v>
      </c>
      <c r="G79" s="413">
        <v>0</v>
      </c>
      <c r="H79" s="413">
        <v>0</v>
      </c>
      <c r="I79" s="413">
        <v>676858</v>
      </c>
      <c r="J79" s="413">
        <v>348305</v>
      </c>
      <c r="K79" s="413">
        <v>0</v>
      </c>
      <c r="L79" s="413">
        <v>0</v>
      </c>
      <c r="M79" s="413">
        <v>0</v>
      </c>
      <c r="N79" s="413">
        <v>0</v>
      </c>
      <c r="O79" s="413">
        <v>0</v>
      </c>
      <c r="P79" s="413">
        <v>0</v>
      </c>
      <c r="Q79" s="413">
        <v>0</v>
      </c>
      <c r="R79" s="413">
        <v>0</v>
      </c>
      <c r="S79" s="413">
        <v>33705</v>
      </c>
      <c r="T79" s="413">
        <v>0</v>
      </c>
      <c r="U79" s="413">
        <v>0</v>
      </c>
      <c r="V79" s="413">
        <v>0</v>
      </c>
      <c r="W79" s="413">
        <v>1163</v>
      </c>
      <c r="X79" s="413">
        <v>0</v>
      </c>
      <c r="Y79" s="413">
        <v>30870</v>
      </c>
      <c r="Z79" s="413">
        <v>1471322</v>
      </c>
      <c r="AA79" s="413">
        <v>0</v>
      </c>
      <c r="AB79" s="413">
        <v>29924</v>
      </c>
      <c r="AC79" s="413">
        <v>0</v>
      </c>
      <c r="AD79" s="413">
        <v>47776</v>
      </c>
      <c r="AE79" s="413">
        <v>7361477</v>
      </c>
      <c r="AF79" s="413">
        <v>0</v>
      </c>
      <c r="AG79" s="413">
        <v>0</v>
      </c>
      <c r="AH79" s="413">
        <v>0</v>
      </c>
      <c r="AI79" s="413">
        <v>24228600</v>
      </c>
      <c r="AJ79" s="413">
        <v>0</v>
      </c>
      <c r="AK79" s="413">
        <v>65628903</v>
      </c>
      <c r="AL79" s="413">
        <v>1293863</v>
      </c>
      <c r="AM79" s="413">
        <v>675700</v>
      </c>
      <c r="AN79" s="413">
        <v>78086</v>
      </c>
      <c r="AO79" s="413">
        <v>3256</v>
      </c>
      <c r="AP79" s="413">
        <v>118402</v>
      </c>
      <c r="AQ79" s="413">
        <v>1171981</v>
      </c>
      <c r="AR79" s="413">
        <v>0</v>
      </c>
      <c r="AS79" s="413">
        <v>0</v>
      </c>
      <c r="AT79" s="413">
        <v>0</v>
      </c>
      <c r="AU79" s="413"/>
      <c r="AV79" s="413"/>
      <c r="AW79" s="413"/>
      <c r="AX79" s="413"/>
      <c r="AY79" s="413"/>
      <c r="AZ79" s="413"/>
      <c r="BA79" s="413"/>
      <c r="BB79" s="413"/>
      <c r="BC79" s="413"/>
      <c r="BD79" s="413"/>
      <c r="BE79" s="413"/>
      <c r="BF79" s="413"/>
      <c r="BG79" s="413"/>
      <c r="BH79" s="413"/>
      <c r="BI79" s="413"/>
      <c r="BJ79" s="413"/>
      <c r="BK79" s="413"/>
      <c r="BL79" s="413"/>
      <c r="BM79" s="413"/>
      <c r="BN79" s="413"/>
      <c r="BO79" s="413"/>
      <c r="BP79" s="413"/>
      <c r="BQ79" s="413"/>
      <c r="BR79" s="413"/>
      <c r="BS79" s="413"/>
      <c r="BT79" s="413"/>
      <c r="BU79" s="413"/>
      <c r="BV79" s="413"/>
      <c r="BW79" s="413"/>
      <c r="BX79" s="413"/>
      <c r="BY79" s="413"/>
      <c r="BZ79" s="413"/>
      <c r="CA79" s="413"/>
      <c r="CB79" s="413"/>
    </row>
    <row r="80" spans="1:80" x14ac:dyDescent="0.25">
      <c r="A80" s="302">
        <v>253</v>
      </c>
      <c r="B80" s="412">
        <v>253</v>
      </c>
      <c r="C80" s="302" t="s">
        <v>104</v>
      </c>
      <c r="D80" s="302">
        <v>0</v>
      </c>
      <c r="E80" s="413">
        <v>0</v>
      </c>
      <c r="F80" s="413">
        <v>523259</v>
      </c>
      <c r="G80" s="413">
        <v>0</v>
      </c>
      <c r="H80" s="413">
        <v>0</v>
      </c>
      <c r="I80" s="413">
        <v>6202</v>
      </c>
      <c r="J80" s="413">
        <v>28854</v>
      </c>
      <c r="K80" s="413">
        <v>0</v>
      </c>
      <c r="L80" s="413">
        <v>0</v>
      </c>
      <c r="M80" s="413">
        <v>0</v>
      </c>
      <c r="N80" s="413">
        <v>0</v>
      </c>
      <c r="O80" s="413">
        <v>0</v>
      </c>
      <c r="P80" s="413">
        <v>0</v>
      </c>
      <c r="Q80" s="413">
        <v>0</v>
      </c>
      <c r="R80" s="413">
        <v>0</v>
      </c>
      <c r="S80" s="413">
        <v>16628</v>
      </c>
      <c r="T80" s="413">
        <v>30</v>
      </c>
      <c r="U80" s="413">
        <v>619662</v>
      </c>
      <c r="V80" s="413">
        <v>0</v>
      </c>
      <c r="W80" s="413">
        <v>0</v>
      </c>
      <c r="X80" s="413">
        <v>0</v>
      </c>
      <c r="Y80" s="413">
        <v>16450</v>
      </c>
      <c r="Z80" s="413">
        <v>187250</v>
      </c>
      <c r="AA80" s="413">
        <v>0</v>
      </c>
      <c r="AB80" s="413">
        <v>0</v>
      </c>
      <c r="AC80" s="413">
        <v>506</v>
      </c>
      <c r="AD80" s="413">
        <v>5023</v>
      </c>
      <c r="AE80" s="413">
        <v>12848845</v>
      </c>
      <c r="AF80" s="413">
        <v>0</v>
      </c>
      <c r="AG80" s="413">
        <v>43</v>
      </c>
      <c r="AH80" s="413">
        <v>0</v>
      </c>
      <c r="AI80" s="413">
        <v>2570393</v>
      </c>
      <c r="AJ80" s="413">
        <v>1766614</v>
      </c>
      <c r="AK80" s="413">
        <v>318412758</v>
      </c>
      <c r="AL80" s="413">
        <v>2053</v>
      </c>
      <c r="AM80" s="413">
        <v>20694</v>
      </c>
      <c r="AN80" s="413">
        <v>124465</v>
      </c>
      <c r="AO80" s="413">
        <v>1766</v>
      </c>
      <c r="AP80" s="413">
        <v>1993</v>
      </c>
      <c r="AQ80" s="413">
        <v>890751</v>
      </c>
      <c r="AR80" s="413">
        <v>0</v>
      </c>
      <c r="AS80" s="413">
        <v>0</v>
      </c>
      <c r="AT80" s="413">
        <v>26887</v>
      </c>
      <c r="AU80" s="413"/>
      <c r="AV80" s="413"/>
      <c r="AW80" s="413"/>
      <c r="AX80" s="413"/>
      <c r="AY80" s="413"/>
      <c r="AZ80" s="413"/>
      <c r="BA80" s="413"/>
      <c r="BB80" s="413"/>
      <c r="BC80" s="413"/>
      <c r="BD80" s="413"/>
      <c r="BE80" s="413"/>
      <c r="BF80" s="413"/>
      <c r="BG80" s="413"/>
      <c r="BH80" s="413"/>
      <c r="BI80" s="413"/>
      <c r="BJ80" s="413"/>
      <c r="BK80" s="413"/>
      <c r="BL80" s="413"/>
      <c r="BM80" s="413"/>
      <c r="BN80" s="413"/>
      <c r="BO80" s="413"/>
      <c r="BP80" s="413"/>
      <c r="BQ80" s="413"/>
      <c r="BR80" s="413"/>
      <c r="BS80" s="413"/>
      <c r="BT80" s="413"/>
      <c r="BU80" s="413"/>
      <c r="BV80" s="413"/>
      <c r="BW80" s="413"/>
      <c r="BX80" s="413"/>
      <c r="BY80" s="413"/>
      <c r="BZ80" s="413"/>
      <c r="CA80" s="413"/>
      <c r="CB80" s="413"/>
    </row>
    <row r="81" spans="1:80" x14ac:dyDescent="0.25">
      <c r="A81" s="302">
        <v>254</v>
      </c>
      <c r="B81" s="412">
        <v>254</v>
      </c>
      <c r="C81" s="302" t="s">
        <v>105</v>
      </c>
      <c r="D81" s="302">
        <v>0</v>
      </c>
      <c r="E81" s="413">
        <v>0</v>
      </c>
      <c r="F81" s="413">
        <v>326378</v>
      </c>
      <c r="G81" s="413">
        <v>0</v>
      </c>
      <c r="H81" s="413">
        <v>0</v>
      </c>
      <c r="I81" s="413">
        <v>211970</v>
      </c>
      <c r="J81" s="413">
        <v>-1207646</v>
      </c>
      <c r="K81" s="413">
        <v>0</v>
      </c>
      <c r="L81" s="413">
        <v>0</v>
      </c>
      <c r="M81" s="413">
        <v>0</v>
      </c>
      <c r="N81" s="413">
        <v>0</v>
      </c>
      <c r="O81" s="413">
        <v>0</v>
      </c>
      <c r="P81" s="413">
        <v>0</v>
      </c>
      <c r="Q81" s="413">
        <v>0</v>
      </c>
      <c r="R81" s="413">
        <v>312059</v>
      </c>
      <c r="S81" s="413">
        <v>26564</v>
      </c>
      <c r="T81" s="413">
        <v>116647</v>
      </c>
      <c r="U81" s="413">
        <v>4470771</v>
      </c>
      <c r="V81" s="413">
        <v>0</v>
      </c>
      <c r="W81" s="413">
        <v>90867</v>
      </c>
      <c r="X81" s="413">
        <v>0</v>
      </c>
      <c r="Y81" s="413">
        <v>176279</v>
      </c>
      <c r="Z81" s="413">
        <v>371121</v>
      </c>
      <c r="AA81" s="413">
        <v>0</v>
      </c>
      <c r="AB81" s="413">
        <v>49759</v>
      </c>
      <c r="AC81" s="413">
        <v>142045</v>
      </c>
      <c r="AD81" s="413">
        <v>67871</v>
      </c>
      <c r="AE81" s="413">
        <v>-78976560</v>
      </c>
      <c r="AF81" s="413">
        <v>0</v>
      </c>
      <c r="AG81" s="413">
        <v>108522</v>
      </c>
      <c r="AH81" s="413">
        <v>0</v>
      </c>
      <c r="AI81" s="413">
        <v>6017664</v>
      </c>
      <c r="AJ81" s="413">
        <v>1770957</v>
      </c>
      <c r="AK81" s="413">
        <v>10775089</v>
      </c>
      <c r="AL81" s="413">
        <v>1121497</v>
      </c>
      <c r="AM81" s="413">
        <v>363</v>
      </c>
      <c r="AN81" s="413">
        <v>135748</v>
      </c>
      <c r="AO81" s="413">
        <v>27643</v>
      </c>
      <c r="AP81" s="413">
        <v>69576</v>
      </c>
      <c r="AQ81" s="413">
        <v>0</v>
      </c>
      <c r="AR81" s="413">
        <v>0</v>
      </c>
      <c r="AS81" s="413">
        <v>0</v>
      </c>
      <c r="AT81" s="413">
        <v>155704</v>
      </c>
      <c r="AU81" s="413"/>
      <c r="AV81" s="413"/>
      <c r="AW81" s="413"/>
      <c r="AX81" s="413"/>
      <c r="AY81" s="413"/>
      <c r="AZ81" s="413"/>
      <c r="BA81" s="413"/>
      <c r="BB81" s="413"/>
      <c r="BC81" s="413"/>
      <c r="BD81" s="413"/>
      <c r="BE81" s="413"/>
      <c r="BF81" s="413"/>
      <c r="BG81" s="413"/>
      <c r="BH81" s="413"/>
      <c r="BI81" s="413"/>
      <c r="BJ81" s="413"/>
      <c r="BK81" s="413"/>
      <c r="BL81" s="413"/>
      <c r="BM81" s="413"/>
      <c r="BN81" s="413"/>
      <c r="BO81" s="413"/>
      <c r="BP81" s="413"/>
      <c r="BQ81" s="413"/>
      <c r="BR81" s="413"/>
      <c r="BS81" s="413"/>
      <c r="BT81" s="413"/>
      <c r="BU81" s="413"/>
      <c r="BV81" s="413"/>
      <c r="BW81" s="413"/>
      <c r="BX81" s="413"/>
      <c r="BY81" s="413"/>
      <c r="BZ81" s="413"/>
      <c r="CA81" s="413"/>
      <c r="CB81" s="413"/>
    </row>
    <row r="82" spans="1:80" x14ac:dyDescent="0.25">
      <c r="A82" s="302">
        <v>255</v>
      </c>
      <c r="B82" s="412">
        <v>255</v>
      </c>
      <c r="C82" s="302" t="s">
        <v>197</v>
      </c>
      <c r="D82" s="302">
        <v>0</v>
      </c>
      <c r="E82" s="413">
        <v>0</v>
      </c>
      <c r="F82" s="413">
        <v>46034</v>
      </c>
      <c r="G82" s="413">
        <v>0</v>
      </c>
      <c r="H82" s="413">
        <v>0</v>
      </c>
      <c r="I82" s="413">
        <v>475</v>
      </c>
      <c r="J82" s="413">
        <v>113103</v>
      </c>
      <c r="K82" s="413">
        <v>0</v>
      </c>
      <c r="L82" s="413">
        <v>0</v>
      </c>
      <c r="M82" s="413">
        <v>0</v>
      </c>
      <c r="N82" s="413">
        <v>0</v>
      </c>
      <c r="O82" s="413">
        <v>0</v>
      </c>
      <c r="P82" s="413">
        <v>0</v>
      </c>
      <c r="Q82" s="413">
        <v>0</v>
      </c>
      <c r="R82" s="413">
        <v>1422</v>
      </c>
      <c r="S82" s="413">
        <v>31</v>
      </c>
      <c r="T82" s="413">
        <v>-1545</v>
      </c>
      <c r="U82" s="413">
        <v>602357</v>
      </c>
      <c r="V82" s="413">
        <v>0</v>
      </c>
      <c r="W82" s="413">
        <v>27663</v>
      </c>
      <c r="X82" s="413">
        <v>0</v>
      </c>
      <c r="Y82" s="413">
        <v>8164</v>
      </c>
      <c r="Z82" s="413">
        <v>82095</v>
      </c>
      <c r="AA82" s="413">
        <v>0</v>
      </c>
      <c r="AB82" s="413">
        <v>9808</v>
      </c>
      <c r="AC82" s="413">
        <v>10549</v>
      </c>
      <c r="AD82" s="413">
        <v>6590</v>
      </c>
      <c r="AE82" s="413">
        <v>-2628377</v>
      </c>
      <c r="AF82" s="413">
        <v>0</v>
      </c>
      <c r="AG82" s="413">
        <v>5574</v>
      </c>
      <c r="AH82" s="413">
        <v>0</v>
      </c>
      <c r="AI82" s="413">
        <v>218399</v>
      </c>
      <c r="AJ82" s="413">
        <v>-522375</v>
      </c>
      <c r="AK82" s="413">
        <v>-25937337</v>
      </c>
      <c r="AL82" s="413">
        <v>70478</v>
      </c>
      <c r="AM82" s="413">
        <v>-16724</v>
      </c>
      <c r="AN82" s="413">
        <v>9091</v>
      </c>
      <c r="AO82" s="413">
        <v>2924</v>
      </c>
      <c r="AP82" s="413">
        <v>15697</v>
      </c>
      <c r="AQ82" s="413">
        <v>239983</v>
      </c>
      <c r="AR82" s="413">
        <v>0</v>
      </c>
      <c r="AS82" s="413">
        <v>0</v>
      </c>
      <c r="AT82" s="413">
        <v>9150</v>
      </c>
      <c r="AU82" s="413"/>
      <c r="AV82" s="413"/>
      <c r="AW82" s="413"/>
      <c r="AX82" s="413"/>
      <c r="AY82" s="413"/>
      <c r="AZ82" s="413"/>
      <c r="BA82" s="413"/>
      <c r="BB82" s="413"/>
      <c r="BC82" s="413"/>
      <c r="BD82" s="413"/>
      <c r="BE82" s="413"/>
      <c r="BF82" s="413"/>
      <c r="BG82" s="413"/>
      <c r="BH82" s="413"/>
      <c r="BI82" s="413"/>
      <c r="BJ82" s="413"/>
      <c r="BK82" s="413"/>
      <c r="BL82" s="413"/>
      <c r="BM82" s="413"/>
      <c r="BN82" s="413"/>
      <c r="BO82" s="413"/>
      <c r="BP82" s="413"/>
      <c r="BQ82" s="413"/>
      <c r="BR82" s="413"/>
      <c r="BS82" s="413"/>
      <c r="BT82" s="413"/>
      <c r="BU82" s="413"/>
      <c r="BV82" s="413"/>
      <c r="BW82" s="413"/>
      <c r="BX82" s="413"/>
      <c r="BY82" s="413"/>
      <c r="BZ82" s="413"/>
      <c r="CA82" s="413"/>
      <c r="CB82" s="413"/>
    </row>
    <row r="83" spans="1:80" x14ac:dyDescent="0.25">
      <c r="B83" s="412">
        <v>274</v>
      </c>
      <c r="C83" s="302" t="s">
        <v>315</v>
      </c>
      <c r="D83" s="302">
        <v>0</v>
      </c>
      <c r="E83" s="413">
        <v>0</v>
      </c>
      <c r="F83" s="413">
        <v>0</v>
      </c>
      <c r="G83" s="413">
        <v>0</v>
      </c>
      <c r="H83" s="413">
        <v>0</v>
      </c>
      <c r="I83" s="413">
        <v>0</v>
      </c>
      <c r="J83" s="413">
        <v>0</v>
      </c>
      <c r="K83" s="413">
        <v>0</v>
      </c>
      <c r="L83" s="413">
        <v>0</v>
      </c>
      <c r="M83" s="413">
        <v>0</v>
      </c>
      <c r="N83" s="413">
        <v>0</v>
      </c>
      <c r="O83" s="413">
        <v>0</v>
      </c>
      <c r="P83" s="413">
        <v>0</v>
      </c>
      <c r="Q83" s="413">
        <v>0</v>
      </c>
      <c r="R83" s="413">
        <v>0</v>
      </c>
      <c r="S83" s="413">
        <v>0</v>
      </c>
      <c r="T83" s="413">
        <v>0</v>
      </c>
      <c r="U83" s="413">
        <v>0</v>
      </c>
      <c r="V83" s="413">
        <v>0</v>
      </c>
      <c r="W83" s="413">
        <v>0</v>
      </c>
      <c r="X83" s="413">
        <v>0</v>
      </c>
      <c r="Y83" s="413">
        <v>0</v>
      </c>
      <c r="Z83" s="413">
        <v>0</v>
      </c>
      <c r="AA83" s="413">
        <v>0</v>
      </c>
      <c r="AB83" s="413">
        <v>0</v>
      </c>
      <c r="AC83" s="413">
        <v>0</v>
      </c>
      <c r="AD83" s="413">
        <v>0</v>
      </c>
      <c r="AE83" s="413">
        <v>0</v>
      </c>
      <c r="AF83" s="413">
        <v>0</v>
      </c>
      <c r="AG83" s="413">
        <v>0</v>
      </c>
      <c r="AH83" s="413">
        <v>0</v>
      </c>
      <c r="AI83" s="413">
        <v>0</v>
      </c>
      <c r="AJ83" s="413">
        <v>0</v>
      </c>
      <c r="AK83" s="413">
        <v>0</v>
      </c>
      <c r="AL83" s="413">
        <v>0</v>
      </c>
      <c r="AM83" s="413">
        <v>0</v>
      </c>
      <c r="AN83" s="413">
        <v>0</v>
      </c>
      <c r="AO83" s="413">
        <v>0</v>
      </c>
      <c r="AP83" s="413">
        <v>0</v>
      </c>
      <c r="AQ83" s="413">
        <v>0</v>
      </c>
      <c r="AR83" s="413">
        <v>0</v>
      </c>
      <c r="AS83" s="413">
        <v>0</v>
      </c>
      <c r="AT83" s="413">
        <v>0</v>
      </c>
      <c r="AU83" s="413"/>
      <c r="AV83" s="413"/>
      <c r="AW83" s="413"/>
      <c r="AX83" s="413"/>
      <c r="AY83" s="413"/>
      <c r="AZ83" s="413"/>
      <c r="BA83" s="413"/>
      <c r="BB83" s="413"/>
      <c r="BC83" s="413"/>
      <c r="BD83" s="413"/>
      <c r="BE83" s="413"/>
      <c r="BF83" s="413"/>
      <c r="BG83" s="413"/>
      <c r="BH83" s="413"/>
      <c r="BI83" s="413"/>
      <c r="BJ83" s="413"/>
      <c r="BK83" s="413"/>
      <c r="BL83" s="413"/>
      <c r="BM83" s="413"/>
      <c r="BN83" s="413"/>
      <c r="BO83" s="413"/>
      <c r="BP83" s="413"/>
      <c r="BQ83" s="413"/>
      <c r="BR83" s="413"/>
      <c r="BS83" s="413"/>
      <c r="BT83" s="413"/>
      <c r="BU83" s="413"/>
      <c r="BV83" s="413"/>
      <c r="BW83" s="413"/>
      <c r="BX83" s="413"/>
      <c r="BY83" s="413"/>
      <c r="BZ83" s="413"/>
      <c r="CA83" s="413"/>
      <c r="CB83" s="413"/>
    </row>
    <row r="84" spans="1:80" x14ac:dyDescent="0.25">
      <c r="B84" s="412">
        <v>294</v>
      </c>
      <c r="C84" s="302" t="s">
        <v>575</v>
      </c>
      <c r="D84" s="302">
        <v>0</v>
      </c>
      <c r="E84" s="413">
        <v>0</v>
      </c>
      <c r="F84" s="413">
        <v>0</v>
      </c>
      <c r="G84" s="413">
        <v>0</v>
      </c>
      <c r="H84" s="413">
        <v>0</v>
      </c>
      <c r="I84" s="413">
        <v>0</v>
      </c>
      <c r="J84" s="413">
        <v>0</v>
      </c>
      <c r="K84" s="413">
        <v>0</v>
      </c>
      <c r="L84" s="413">
        <v>0</v>
      </c>
      <c r="M84" s="413">
        <v>0</v>
      </c>
      <c r="N84" s="413">
        <v>0</v>
      </c>
      <c r="O84" s="413">
        <v>0</v>
      </c>
      <c r="P84" s="413">
        <v>0</v>
      </c>
      <c r="Q84" s="413">
        <v>0</v>
      </c>
      <c r="R84" s="413">
        <v>0</v>
      </c>
      <c r="S84" s="413">
        <v>0</v>
      </c>
      <c r="T84" s="413">
        <v>0</v>
      </c>
      <c r="U84" s="413">
        <v>0</v>
      </c>
      <c r="V84" s="413">
        <v>0</v>
      </c>
      <c r="W84" s="413">
        <v>0</v>
      </c>
      <c r="X84" s="413">
        <v>0</v>
      </c>
      <c r="Y84" s="413">
        <v>0</v>
      </c>
      <c r="Z84" s="413">
        <v>0</v>
      </c>
      <c r="AA84" s="413">
        <v>0</v>
      </c>
      <c r="AB84" s="413">
        <v>0</v>
      </c>
      <c r="AC84" s="413">
        <v>0</v>
      </c>
      <c r="AD84" s="413">
        <v>0</v>
      </c>
      <c r="AE84" s="413">
        <v>0</v>
      </c>
      <c r="AF84" s="413">
        <v>0</v>
      </c>
      <c r="AG84" s="413">
        <v>0</v>
      </c>
      <c r="AH84" s="413">
        <v>0</v>
      </c>
      <c r="AI84" s="413">
        <v>0</v>
      </c>
      <c r="AJ84" s="413">
        <v>0</v>
      </c>
      <c r="AK84" s="413">
        <v>0</v>
      </c>
      <c r="AL84" s="413">
        <v>0</v>
      </c>
      <c r="AM84" s="413">
        <v>0</v>
      </c>
      <c r="AN84" s="413">
        <v>0</v>
      </c>
      <c r="AO84" s="413">
        <v>0</v>
      </c>
      <c r="AP84" s="413">
        <v>0</v>
      </c>
      <c r="AQ84" s="413">
        <v>0</v>
      </c>
      <c r="AR84" s="413">
        <v>0</v>
      </c>
      <c r="AS84" s="413">
        <v>0</v>
      </c>
      <c r="AT84" s="413">
        <v>0</v>
      </c>
      <c r="AU84" s="413"/>
      <c r="AV84" s="413"/>
      <c r="AW84" s="413"/>
      <c r="AX84" s="413"/>
      <c r="AY84" s="413"/>
      <c r="AZ84" s="413"/>
      <c r="BA84" s="413"/>
      <c r="BB84" s="413"/>
      <c r="BC84" s="413"/>
      <c r="BD84" s="413"/>
      <c r="BE84" s="413"/>
      <c r="BF84" s="413"/>
      <c r="BG84" s="413"/>
      <c r="BH84" s="413"/>
      <c r="BI84" s="413"/>
      <c r="BJ84" s="413"/>
      <c r="BK84" s="413"/>
      <c r="BL84" s="413"/>
      <c r="BM84" s="413"/>
      <c r="BN84" s="413"/>
      <c r="BO84" s="413"/>
      <c r="BP84" s="413"/>
      <c r="BQ84" s="413"/>
      <c r="BR84" s="413"/>
      <c r="BS84" s="413"/>
      <c r="BT84" s="413"/>
      <c r="BU84" s="413"/>
      <c r="BV84" s="413"/>
      <c r="BW84" s="413"/>
      <c r="BX84" s="413"/>
      <c r="BY84" s="413"/>
      <c r="BZ84" s="413"/>
      <c r="CA84" s="413"/>
      <c r="CB84" s="413"/>
    </row>
    <row r="85" spans="1:80" x14ac:dyDescent="0.25">
      <c r="B85" s="412">
        <v>314</v>
      </c>
      <c r="C85" s="302" t="s">
        <v>316</v>
      </c>
      <c r="D85" s="302">
        <v>0</v>
      </c>
      <c r="E85" s="413">
        <v>0</v>
      </c>
      <c r="F85" s="413">
        <v>0</v>
      </c>
      <c r="G85" s="413">
        <v>0</v>
      </c>
      <c r="H85" s="413">
        <v>0</v>
      </c>
      <c r="I85" s="413">
        <v>0</v>
      </c>
      <c r="J85" s="413">
        <v>0</v>
      </c>
      <c r="K85" s="413">
        <v>0</v>
      </c>
      <c r="L85" s="413">
        <v>0</v>
      </c>
      <c r="M85" s="413">
        <v>0</v>
      </c>
      <c r="N85" s="413">
        <v>0</v>
      </c>
      <c r="O85" s="413">
        <v>0</v>
      </c>
      <c r="P85" s="413">
        <v>0</v>
      </c>
      <c r="Q85" s="413">
        <v>0</v>
      </c>
      <c r="R85" s="413">
        <v>0</v>
      </c>
      <c r="S85" s="413">
        <v>0</v>
      </c>
      <c r="T85" s="413">
        <v>0</v>
      </c>
      <c r="U85" s="413">
        <v>0</v>
      </c>
      <c r="V85" s="413">
        <v>0</v>
      </c>
      <c r="W85" s="413">
        <v>0</v>
      </c>
      <c r="X85" s="413">
        <v>0</v>
      </c>
      <c r="Y85" s="413">
        <v>0</v>
      </c>
      <c r="Z85" s="413">
        <v>0</v>
      </c>
      <c r="AA85" s="413">
        <v>0</v>
      </c>
      <c r="AB85" s="413">
        <v>0</v>
      </c>
      <c r="AC85" s="413">
        <v>0</v>
      </c>
      <c r="AD85" s="413">
        <v>0</v>
      </c>
      <c r="AE85" s="413">
        <v>0</v>
      </c>
      <c r="AF85" s="413">
        <v>0</v>
      </c>
      <c r="AG85" s="413">
        <v>0</v>
      </c>
      <c r="AH85" s="413">
        <v>0</v>
      </c>
      <c r="AI85" s="413">
        <v>0</v>
      </c>
      <c r="AJ85" s="413">
        <v>0</v>
      </c>
      <c r="AK85" s="413">
        <v>0</v>
      </c>
      <c r="AL85" s="413">
        <v>0</v>
      </c>
      <c r="AM85" s="413">
        <v>0</v>
      </c>
      <c r="AN85" s="413">
        <v>0</v>
      </c>
      <c r="AO85" s="413">
        <v>0</v>
      </c>
      <c r="AP85" s="413">
        <v>0</v>
      </c>
      <c r="AQ85" s="413">
        <v>0</v>
      </c>
      <c r="AR85" s="413">
        <v>0</v>
      </c>
      <c r="AS85" s="413">
        <v>0</v>
      </c>
      <c r="AT85" s="413">
        <v>0</v>
      </c>
      <c r="AU85" s="413"/>
      <c r="AV85" s="413"/>
      <c r="AW85" s="413"/>
      <c r="AX85" s="413"/>
      <c r="AY85" s="413"/>
      <c r="AZ85" s="413"/>
      <c r="BA85" s="413"/>
      <c r="BB85" s="413"/>
      <c r="BC85" s="413"/>
      <c r="BD85" s="413"/>
      <c r="BE85" s="413"/>
      <c r="BF85" s="413"/>
      <c r="BG85" s="413"/>
      <c r="BH85" s="413"/>
      <c r="BI85" s="413"/>
      <c r="BJ85" s="413"/>
      <c r="BK85" s="413"/>
      <c r="BL85" s="413"/>
      <c r="BM85" s="413"/>
      <c r="BN85" s="413"/>
      <c r="BO85" s="413"/>
      <c r="BP85" s="413"/>
      <c r="BQ85" s="413"/>
      <c r="BR85" s="413"/>
      <c r="BS85" s="413"/>
      <c r="BT85" s="413"/>
      <c r="BU85" s="413"/>
      <c r="BV85" s="413"/>
      <c r="BW85" s="413"/>
      <c r="BX85" s="413"/>
      <c r="BY85" s="413"/>
      <c r="BZ85" s="413"/>
      <c r="CA85" s="413"/>
      <c r="CB85" s="413"/>
    </row>
    <row r="86" spans="1:80" x14ac:dyDescent="0.25">
      <c r="B86" s="412">
        <v>315</v>
      </c>
      <c r="C86" s="302" t="s">
        <v>317</v>
      </c>
      <c r="D86" s="302">
        <v>0</v>
      </c>
      <c r="E86" s="413">
        <v>0</v>
      </c>
      <c r="F86" s="413">
        <v>0</v>
      </c>
      <c r="G86" s="413">
        <v>0</v>
      </c>
      <c r="H86" s="413">
        <v>0</v>
      </c>
      <c r="I86" s="413">
        <v>0</v>
      </c>
      <c r="J86" s="413">
        <v>0</v>
      </c>
      <c r="K86" s="413">
        <v>0</v>
      </c>
      <c r="L86" s="413">
        <v>0</v>
      </c>
      <c r="M86" s="413">
        <v>0</v>
      </c>
      <c r="N86" s="413">
        <v>0</v>
      </c>
      <c r="O86" s="413">
        <v>0</v>
      </c>
      <c r="P86" s="413">
        <v>0</v>
      </c>
      <c r="Q86" s="413">
        <v>0</v>
      </c>
      <c r="R86" s="413">
        <v>0</v>
      </c>
      <c r="S86" s="413">
        <v>0</v>
      </c>
      <c r="T86" s="413">
        <v>0</v>
      </c>
      <c r="U86" s="413">
        <v>0</v>
      </c>
      <c r="V86" s="413">
        <v>0</v>
      </c>
      <c r="W86" s="413">
        <v>0</v>
      </c>
      <c r="X86" s="413">
        <v>0</v>
      </c>
      <c r="Y86" s="413">
        <v>0</v>
      </c>
      <c r="Z86" s="413">
        <v>0</v>
      </c>
      <c r="AA86" s="413">
        <v>0</v>
      </c>
      <c r="AB86" s="413">
        <v>0</v>
      </c>
      <c r="AC86" s="413">
        <v>0</v>
      </c>
      <c r="AD86" s="413">
        <v>0</v>
      </c>
      <c r="AE86" s="413">
        <v>0</v>
      </c>
      <c r="AF86" s="413">
        <v>0</v>
      </c>
      <c r="AG86" s="413">
        <v>0</v>
      </c>
      <c r="AH86" s="413">
        <v>0</v>
      </c>
      <c r="AI86" s="413">
        <v>0</v>
      </c>
      <c r="AJ86" s="413">
        <v>0</v>
      </c>
      <c r="AK86" s="413">
        <v>0</v>
      </c>
      <c r="AL86" s="413">
        <v>0</v>
      </c>
      <c r="AM86" s="413">
        <v>0</v>
      </c>
      <c r="AN86" s="413">
        <v>0</v>
      </c>
      <c r="AO86" s="413">
        <v>0</v>
      </c>
      <c r="AP86" s="413">
        <v>0</v>
      </c>
      <c r="AQ86" s="413">
        <v>0</v>
      </c>
      <c r="AR86" s="413">
        <v>0</v>
      </c>
      <c r="AS86" s="413">
        <v>0</v>
      </c>
      <c r="AT86" s="413">
        <v>0</v>
      </c>
      <c r="AU86" s="413"/>
      <c r="AV86" s="413"/>
      <c r="AW86" s="413"/>
      <c r="AX86" s="413"/>
      <c r="AY86" s="413"/>
      <c r="AZ86" s="413"/>
      <c r="BA86" s="413"/>
      <c r="BB86" s="413"/>
      <c r="BC86" s="413"/>
      <c r="BD86" s="413"/>
      <c r="BE86" s="413"/>
      <c r="BF86" s="413"/>
      <c r="BG86" s="413"/>
      <c r="BH86" s="413"/>
      <c r="BI86" s="413"/>
      <c r="BJ86" s="413"/>
      <c r="BK86" s="413"/>
      <c r="BL86" s="413"/>
      <c r="BM86" s="413"/>
      <c r="BN86" s="413"/>
      <c r="BO86" s="413"/>
      <c r="BP86" s="413"/>
      <c r="BQ86" s="413"/>
      <c r="BR86" s="413"/>
      <c r="BS86" s="413"/>
      <c r="BT86" s="413"/>
      <c r="BU86" s="413"/>
      <c r="BV86" s="413"/>
      <c r="BW86" s="413"/>
      <c r="BX86" s="413"/>
      <c r="BY86" s="413"/>
      <c r="BZ86" s="413"/>
      <c r="CA86" s="413"/>
      <c r="CB86" s="413"/>
    </row>
    <row r="87" spans="1:80" x14ac:dyDescent="0.25">
      <c r="B87" s="412">
        <v>316</v>
      </c>
      <c r="C87" s="302" t="s">
        <v>318</v>
      </c>
      <c r="D87" s="302">
        <v>0</v>
      </c>
      <c r="E87" s="413">
        <v>0</v>
      </c>
      <c r="F87" s="413">
        <v>0</v>
      </c>
      <c r="G87" s="413">
        <v>0</v>
      </c>
      <c r="H87" s="413">
        <v>0</v>
      </c>
      <c r="I87" s="413">
        <v>0</v>
      </c>
      <c r="J87" s="413">
        <v>0</v>
      </c>
      <c r="K87" s="413">
        <v>0</v>
      </c>
      <c r="L87" s="413">
        <v>0</v>
      </c>
      <c r="M87" s="413">
        <v>0</v>
      </c>
      <c r="N87" s="413">
        <v>0</v>
      </c>
      <c r="O87" s="413">
        <v>0</v>
      </c>
      <c r="P87" s="413">
        <v>0</v>
      </c>
      <c r="Q87" s="413">
        <v>0</v>
      </c>
      <c r="R87" s="413">
        <v>0</v>
      </c>
      <c r="S87" s="413">
        <v>0</v>
      </c>
      <c r="T87" s="413">
        <v>0</v>
      </c>
      <c r="U87" s="413">
        <v>0</v>
      </c>
      <c r="V87" s="413">
        <v>0</v>
      </c>
      <c r="W87" s="413">
        <v>0</v>
      </c>
      <c r="X87" s="413">
        <v>0</v>
      </c>
      <c r="Y87" s="413">
        <v>0</v>
      </c>
      <c r="Z87" s="413">
        <v>0</v>
      </c>
      <c r="AA87" s="413">
        <v>0</v>
      </c>
      <c r="AB87" s="413">
        <v>0</v>
      </c>
      <c r="AC87" s="413">
        <v>0</v>
      </c>
      <c r="AD87" s="413">
        <v>0</v>
      </c>
      <c r="AE87" s="413">
        <v>0</v>
      </c>
      <c r="AF87" s="413">
        <v>0</v>
      </c>
      <c r="AG87" s="413">
        <v>0</v>
      </c>
      <c r="AH87" s="413">
        <v>0</v>
      </c>
      <c r="AI87" s="413">
        <v>0</v>
      </c>
      <c r="AJ87" s="413">
        <v>0</v>
      </c>
      <c r="AK87" s="413">
        <v>0</v>
      </c>
      <c r="AL87" s="413">
        <v>0</v>
      </c>
      <c r="AM87" s="413">
        <v>0</v>
      </c>
      <c r="AN87" s="413">
        <v>0</v>
      </c>
      <c r="AO87" s="413">
        <v>0</v>
      </c>
      <c r="AP87" s="413">
        <v>0</v>
      </c>
      <c r="AQ87" s="413">
        <v>0</v>
      </c>
      <c r="AR87" s="413">
        <v>0</v>
      </c>
      <c r="AS87" s="413">
        <v>0</v>
      </c>
      <c r="AT87" s="413">
        <v>0</v>
      </c>
      <c r="AU87" s="413"/>
      <c r="AV87" s="413"/>
      <c r="AW87" s="413"/>
      <c r="AX87" s="413"/>
      <c r="AY87" s="413"/>
      <c r="AZ87" s="413"/>
      <c r="BA87" s="413"/>
      <c r="BB87" s="413"/>
      <c r="BC87" s="413"/>
      <c r="BD87" s="413"/>
      <c r="BE87" s="413"/>
      <c r="BF87" s="413"/>
      <c r="BG87" s="413"/>
      <c r="BH87" s="413"/>
      <c r="BI87" s="413"/>
      <c r="BJ87" s="413"/>
      <c r="BK87" s="413"/>
      <c r="BL87" s="413"/>
      <c r="BM87" s="413"/>
      <c r="BN87" s="413"/>
      <c r="BO87" s="413"/>
      <c r="BP87" s="413"/>
      <c r="BQ87" s="413"/>
      <c r="BR87" s="413"/>
      <c r="BS87" s="413"/>
      <c r="BT87" s="413"/>
      <c r="BU87" s="413"/>
      <c r="BV87" s="413"/>
      <c r="BW87" s="413"/>
      <c r="BX87" s="413"/>
      <c r="BY87" s="413"/>
      <c r="BZ87" s="413"/>
      <c r="CA87" s="413"/>
      <c r="CB87" s="413"/>
    </row>
    <row r="88" spans="1:80" x14ac:dyDescent="0.25">
      <c r="B88" s="412">
        <v>320</v>
      </c>
      <c r="C88" s="302" t="s">
        <v>258</v>
      </c>
      <c r="D88" s="302">
        <v>0</v>
      </c>
      <c r="E88" s="413">
        <v>0</v>
      </c>
      <c r="F88" s="413">
        <v>0</v>
      </c>
      <c r="G88" s="413">
        <v>0</v>
      </c>
      <c r="H88" s="413">
        <v>0</v>
      </c>
      <c r="I88" s="413">
        <v>0</v>
      </c>
      <c r="J88" s="413">
        <v>0</v>
      </c>
      <c r="K88" s="413">
        <v>0</v>
      </c>
      <c r="L88" s="413">
        <v>0</v>
      </c>
      <c r="M88" s="413">
        <v>0</v>
      </c>
      <c r="N88" s="413">
        <v>0</v>
      </c>
      <c r="O88" s="413">
        <v>0</v>
      </c>
      <c r="P88" s="413">
        <v>0</v>
      </c>
      <c r="Q88" s="413">
        <v>0</v>
      </c>
      <c r="R88" s="413">
        <v>0</v>
      </c>
      <c r="S88" s="413">
        <v>0</v>
      </c>
      <c r="T88" s="413">
        <v>0</v>
      </c>
      <c r="U88" s="413">
        <v>0</v>
      </c>
      <c r="V88" s="413">
        <v>0</v>
      </c>
      <c r="W88" s="413">
        <v>0</v>
      </c>
      <c r="X88" s="413">
        <v>0</v>
      </c>
      <c r="Y88" s="413">
        <v>0</v>
      </c>
      <c r="Z88" s="413">
        <v>0</v>
      </c>
      <c r="AA88" s="413">
        <v>0</v>
      </c>
      <c r="AB88" s="413">
        <v>0</v>
      </c>
      <c r="AC88" s="413">
        <v>0</v>
      </c>
      <c r="AD88" s="413">
        <v>0</v>
      </c>
      <c r="AE88" s="413">
        <v>0</v>
      </c>
      <c r="AF88" s="413">
        <v>0</v>
      </c>
      <c r="AG88" s="413">
        <v>0</v>
      </c>
      <c r="AH88" s="413">
        <v>0</v>
      </c>
      <c r="AI88" s="413">
        <v>0</v>
      </c>
      <c r="AJ88" s="413">
        <v>0</v>
      </c>
      <c r="AK88" s="413">
        <v>0</v>
      </c>
      <c r="AL88" s="413">
        <v>0</v>
      </c>
      <c r="AM88" s="413">
        <v>0</v>
      </c>
      <c r="AN88" s="413">
        <v>0</v>
      </c>
      <c r="AO88" s="413">
        <v>0</v>
      </c>
      <c r="AP88" s="413">
        <v>0</v>
      </c>
      <c r="AQ88" s="413">
        <v>0</v>
      </c>
      <c r="AR88" s="413">
        <v>0</v>
      </c>
      <c r="AS88" s="413">
        <v>0</v>
      </c>
      <c r="AT88" s="413">
        <v>0</v>
      </c>
      <c r="AU88" s="413"/>
      <c r="AV88" s="413"/>
      <c r="AW88" s="413"/>
      <c r="AX88" s="413"/>
      <c r="AY88" s="413"/>
      <c r="AZ88" s="413"/>
      <c r="BA88" s="413"/>
      <c r="BB88" s="413"/>
      <c r="BC88" s="413"/>
      <c r="BD88" s="413"/>
      <c r="BE88" s="413"/>
      <c r="BF88" s="413"/>
      <c r="BG88" s="413"/>
      <c r="BH88" s="413"/>
      <c r="BI88" s="413"/>
      <c r="BJ88" s="413"/>
      <c r="BK88" s="413"/>
      <c r="BL88" s="413"/>
      <c r="BM88" s="413"/>
      <c r="BN88" s="413"/>
      <c r="BO88" s="413"/>
      <c r="BP88" s="413"/>
      <c r="BQ88" s="413"/>
      <c r="BR88" s="413"/>
      <c r="BS88" s="413"/>
      <c r="BT88" s="413"/>
      <c r="BU88" s="413"/>
      <c r="BV88" s="413"/>
      <c r="BW88" s="413"/>
      <c r="BX88" s="413"/>
      <c r="BY88" s="413"/>
      <c r="BZ88" s="413"/>
      <c r="CA88" s="413"/>
      <c r="CB88" s="413"/>
    </row>
    <row r="89" spans="1:80" x14ac:dyDescent="0.25">
      <c r="B89" s="412">
        <v>321</v>
      </c>
      <c r="C89" s="302" t="s">
        <v>576</v>
      </c>
      <c r="D89" s="302">
        <v>0</v>
      </c>
      <c r="E89" s="413">
        <v>0</v>
      </c>
      <c r="F89" s="413">
        <v>0</v>
      </c>
      <c r="G89" s="413">
        <v>0</v>
      </c>
      <c r="H89" s="413">
        <v>0</v>
      </c>
      <c r="I89" s="413">
        <v>0</v>
      </c>
      <c r="J89" s="413">
        <v>0</v>
      </c>
      <c r="K89" s="413">
        <v>0</v>
      </c>
      <c r="L89" s="413">
        <v>0</v>
      </c>
      <c r="M89" s="413">
        <v>0</v>
      </c>
      <c r="N89" s="413">
        <v>0</v>
      </c>
      <c r="O89" s="413">
        <v>0</v>
      </c>
      <c r="P89" s="413">
        <v>0</v>
      </c>
      <c r="Q89" s="413">
        <v>0</v>
      </c>
      <c r="R89" s="413">
        <v>0</v>
      </c>
      <c r="S89" s="413">
        <v>0</v>
      </c>
      <c r="T89" s="413">
        <v>0</v>
      </c>
      <c r="U89" s="413">
        <v>0</v>
      </c>
      <c r="V89" s="413">
        <v>0</v>
      </c>
      <c r="W89" s="413">
        <v>0</v>
      </c>
      <c r="X89" s="413">
        <v>0</v>
      </c>
      <c r="Y89" s="413">
        <v>0</v>
      </c>
      <c r="Z89" s="413">
        <v>0</v>
      </c>
      <c r="AA89" s="413">
        <v>0</v>
      </c>
      <c r="AB89" s="413">
        <v>0</v>
      </c>
      <c r="AC89" s="413">
        <v>0</v>
      </c>
      <c r="AD89" s="413">
        <v>0</v>
      </c>
      <c r="AE89" s="413">
        <v>0</v>
      </c>
      <c r="AF89" s="413">
        <v>0</v>
      </c>
      <c r="AG89" s="413">
        <v>0</v>
      </c>
      <c r="AH89" s="413">
        <v>0</v>
      </c>
      <c r="AI89" s="413">
        <v>0</v>
      </c>
      <c r="AJ89" s="413">
        <v>0</v>
      </c>
      <c r="AK89" s="413">
        <v>0</v>
      </c>
      <c r="AL89" s="413">
        <v>0</v>
      </c>
      <c r="AM89" s="413">
        <v>0</v>
      </c>
      <c r="AN89" s="413">
        <v>0</v>
      </c>
      <c r="AO89" s="413">
        <v>0</v>
      </c>
      <c r="AP89" s="413">
        <v>0</v>
      </c>
      <c r="AQ89" s="413">
        <v>0</v>
      </c>
      <c r="AR89" s="413">
        <v>0</v>
      </c>
      <c r="AS89" s="413">
        <v>0</v>
      </c>
      <c r="AT89" s="413">
        <v>0</v>
      </c>
      <c r="AU89" s="413"/>
      <c r="AV89" s="413"/>
      <c r="AW89" s="413"/>
      <c r="AX89" s="413"/>
      <c r="AY89" s="413"/>
      <c r="AZ89" s="413"/>
      <c r="BA89" s="413"/>
      <c r="BB89" s="413"/>
      <c r="BC89" s="413"/>
      <c r="BD89" s="413"/>
      <c r="BE89" s="413"/>
      <c r="BF89" s="413"/>
      <c r="BG89" s="413"/>
      <c r="BH89" s="413"/>
      <c r="BI89" s="413"/>
      <c r="BJ89" s="413"/>
      <c r="BK89" s="413"/>
      <c r="BL89" s="413"/>
      <c r="BM89" s="413"/>
      <c r="BN89" s="413"/>
      <c r="BO89" s="413"/>
      <c r="BP89" s="413"/>
      <c r="BQ89" s="413"/>
      <c r="BR89" s="413"/>
      <c r="BS89" s="413"/>
      <c r="BT89" s="413"/>
      <c r="BU89" s="413"/>
      <c r="BV89" s="413"/>
      <c r="BW89" s="413"/>
      <c r="BX89" s="413"/>
      <c r="BY89" s="413"/>
      <c r="BZ89" s="413"/>
      <c r="CA89" s="413"/>
      <c r="CB89" s="413"/>
    </row>
    <row r="90" spans="1:80" x14ac:dyDescent="0.25">
      <c r="B90" s="412">
        <v>322</v>
      </c>
      <c r="C90" s="302" t="s">
        <v>260</v>
      </c>
      <c r="D90" s="302">
        <v>0</v>
      </c>
      <c r="E90" s="413">
        <v>0</v>
      </c>
      <c r="F90" s="413">
        <v>0</v>
      </c>
      <c r="G90" s="413">
        <v>0</v>
      </c>
      <c r="H90" s="413">
        <v>0</v>
      </c>
      <c r="I90" s="413">
        <v>0</v>
      </c>
      <c r="J90" s="413">
        <v>0</v>
      </c>
      <c r="K90" s="413">
        <v>0</v>
      </c>
      <c r="L90" s="413">
        <v>0</v>
      </c>
      <c r="M90" s="413">
        <v>0</v>
      </c>
      <c r="N90" s="413">
        <v>0</v>
      </c>
      <c r="O90" s="413">
        <v>0</v>
      </c>
      <c r="P90" s="413">
        <v>0</v>
      </c>
      <c r="Q90" s="413">
        <v>0</v>
      </c>
      <c r="R90" s="413">
        <v>0</v>
      </c>
      <c r="S90" s="413">
        <v>0</v>
      </c>
      <c r="T90" s="413">
        <v>0</v>
      </c>
      <c r="U90" s="413">
        <v>0</v>
      </c>
      <c r="V90" s="413">
        <v>0</v>
      </c>
      <c r="W90" s="413">
        <v>0</v>
      </c>
      <c r="X90" s="413">
        <v>0</v>
      </c>
      <c r="Y90" s="413">
        <v>0</v>
      </c>
      <c r="Z90" s="413">
        <v>0</v>
      </c>
      <c r="AA90" s="413">
        <v>0</v>
      </c>
      <c r="AB90" s="413">
        <v>0</v>
      </c>
      <c r="AC90" s="413">
        <v>0</v>
      </c>
      <c r="AD90" s="413">
        <v>0</v>
      </c>
      <c r="AE90" s="413">
        <v>0</v>
      </c>
      <c r="AF90" s="413">
        <v>0</v>
      </c>
      <c r="AG90" s="413">
        <v>0</v>
      </c>
      <c r="AH90" s="413">
        <v>0</v>
      </c>
      <c r="AI90" s="413">
        <v>0</v>
      </c>
      <c r="AJ90" s="413">
        <v>0</v>
      </c>
      <c r="AK90" s="413">
        <v>0</v>
      </c>
      <c r="AL90" s="413">
        <v>0</v>
      </c>
      <c r="AM90" s="413">
        <v>0</v>
      </c>
      <c r="AN90" s="413">
        <v>0</v>
      </c>
      <c r="AO90" s="413">
        <v>0</v>
      </c>
      <c r="AP90" s="413">
        <v>0</v>
      </c>
      <c r="AQ90" s="413">
        <v>0</v>
      </c>
      <c r="AR90" s="413">
        <v>0</v>
      </c>
      <c r="AS90" s="413">
        <v>0</v>
      </c>
      <c r="AT90" s="413">
        <v>0</v>
      </c>
      <c r="AU90" s="413"/>
      <c r="AV90" s="413"/>
      <c r="AW90" s="413"/>
      <c r="AX90" s="413"/>
      <c r="AY90" s="413"/>
      <c r="AZ90" s="413"/>
      <c r="BA90" s="413"/>
      <c r="BB90" s="413"/>
      <c r="BC90" s="413"/>
      <c r="BD90" s="413"/>
      <c r="BE90" s="413"/>
      <c r="BF90" s="413"/>
      <c r="BG90" s="413"/>
      <c r="BH90" s="413"/>
      <c r="BI90" s="413"/>
      <c r="BJ90" s="413"/>
      <c r="BK90" s="413"/>
      <c r="BL90" s="413"/>
      <c r="BM90" s="413"/>
      <c r="BN90" s="413"/>
      <c r="BO90" s="413"/>
      <c r="BP90" s="413"/>
      <c r="BQ90" s="413"/>
      <c r="BR90" s="413"/>
      <c r="BS90" s="413"/>
      <c r="BT90" s="413"/>
      <c r="BU90" s="413"/>
      <c r="BV90" s="413"/>
      <c r="BW90" s="413"/>
      <c r="BX90" s="413"/>
      <c r="BY90" s="413"/>
      <c r="BZ90" s="413"/>
      <c r="CA90" s="413"/>
      <c r="CB90" s="413"/>
    </row>
    <row r="91" spans="1:80" x14ac:dyDescent="0.25">
      <c r="B91" s="412">
        <v>323</v>
      </c>
      <c r="C91" s="302" t="s">
        <v>259</v>
      </c>
      <c r="D91" s="302">
        <v>0</v>
      </c>
      <c r="E91" s="413">
        <v>0</v>
      </c>
      <c r="F91" s="413">
        <v>0</v>
      </c>
      <c r="G91" s="413">
        <v>0</v>
      </c>
      <c r="H91" s="413">
        <v>0</v>
      </c>
      <c r="I91" s="413">
        <v>0</v>
      </c>
      <c r="J91" s="413">
        <v>0</v>
      </c>
      <c r="K91" s="413">
        <v>0</v>
      </c>
      <c r="L91" s="413">
        <v>0</v>
      </c>
      <c r="M91" s="413">
        <v>0</v>
      </c>
      <c r="N91" s="413">
        <v>0</v>
      </c>
      <c r="O91" s="413">
        <v>0</v>
      </c>
      <c r="P91" s="413">
        <v>0</v>
      </c>
      <c r="Q91" s="413">
        <v>0</v>
      </c>
      <c r="R91" s="413">
        <v>0</v>
      </c>
      <c r="S91" s="413">
        <v>0</v>
      </c>
      <c r="T91" s="413">
        <v>0</v>
      </c>
      <c r="U91" s="413">
        <v>0</v>
      </c>
      <c r="V91" s="413">
        <v>0</v>
      </c>
      <c r="W91" s="413">
        <v>0</v>
      </c>
      <c r="X91" s="413">
        <v>0</v>
      </c>
      <c r="Y91" s="413">
        <v>0</v>
      </c>
      <c r="Z91" s="413">
        <v>0</v>
      </c>
      <c r="AA91" s="413">
        <v>0</v>
      </c>
      <c r="AB91" s="413">
        <v>0</v>
      </c>
      <c r="AC91" s="413">
        <v>0</v>
      </c>
      <c r="AD91" s="413">
        <v>0</v>
      </c>
      <c r="AE91" s="413">
        <v>0</v>
      </c>
      <c r="AF91" s="413">
        <v>0</v>
      </c>
      <c r="AG91" s="413">
        <v>0</v>
      </c>
      <c r="AH91" s="413">
        <v>0</v>
      </c>
      <c r="AI91" s="413">
        <v>0</v>
      </c>
      <c r="AJ91" s="413">
        <v>0</v>
      </c>
      <c r="AK91" s="413">
        <v>0</v>
      </c>
      <c r="AL91" s="413">
        <v>0</v>
      </c>
      <c r="AM91" s="413">
        <v>0</v>
      </c>
      <c r="AN91" s="413">
        <v>0</v>
      </c>
      <c r="AO91" s="413">
        <v>0</v>
      </c>
      <c r="AP91" s="413">
        <v>0</v>
      </c>
      <c r="AQ91" s="413">
        <v>0</v>
      </c>
      <c r="AR91" s="413">
        <v>0</v>
      </c>
      <c r="AS91" s="413">
        <v>0</v>
      </c>
      <c r="AT91" s="413">
        <v>0</v>
      </c>
      <c r="AU91" s="413"/>
      <c r="AV91" s="413"/>
      <c r="AW91" s="413"/>
      <c r="AX91" s="413"/>
      <c r="AY91" s="413"/>
      <c r="AZ91" s="413"/>
      <c r="BA91" s="413"/>
      <c r="BB91" s="413"/>
      <c r="BC91" s="413"/>
      <c r="BD91" s="413"/>
      <c r="BE91" s="413"/>
      <c r="BF91" s="413"/>
      <c r="BG91" s="413"/>
      <c r="BH91" s="413"/>
      <c r="BI91" s="413"/>
      <c r="BJ91" s="413"/>
      <c r="BK91" s="413"/>
      <c r="BL91" s="413"/>
      <c r="BM91" s="413"/>
      <c r="BN91" s="413"/>
      <c r="BO91" s="413"/>
      <c r="BP91" s="413"/>
      <c r="BQ91" s="413"/>
      <c r="BR91" s="413"/>
      <c r="BS91" s="413"/>
      <c r="BT91" s="413"/>
      <c r="BU91" s="413"/>
      <c r="BV91" s="413"/>
      <c r="BW91" s="413"/>
      <c r="BX91" s="413"/>
      <c r="BY91" s="413"/>
      <c r="BZ91" s="413"/>
      <c r="CA91" s="413"/>
      <c r="CB91" s="413"/>
    </row>
    <row r="92" spans="1:80" x14ac:dyDescent="0.25">
      <c r="B92" s="412">
        <v>324</v>
      </c>
      <c r="C92" s="302" t="s">
        <v>257</v>
      </c>
      <c r="D92" s="302">
        <v>0</v>
      </c>
      <c r="E92" s="414">
        <v>0</v>
      </c>
      <c r="F92" s="414">
        <v>0</v>
      </c>
      <c r="G92" s="414">
        <v>0</v>
      </c>
      <c r="H92" s="414">
        <v>0</v>
      </c>
      <c r="I92" s="414">
        <v>0</v>
      </c>
      <c r="J92" s="414">
        <v>0</v>
      </c>
      <c r="K92" s="414">
        <v>0</v>
      </c>
      <c r="L92" s="414">
        <v>0</v>
      </c>
      <c r="M92" s="414">
        <v>0</v>
      </c>
      <c r="N92" s="414">
        <v>0</v>
      </c>
      <c r="O92" s="414">
        <v>0</v>
      </c>
      <c r="P92" s="414">
        <v>0</v>
      </c>
      <c r="Q92" s="414">
        <v>0</v>
      </c>
      <c r="R92" s="414">
        <v>0</v>
      </c>
      <c r="S92" s="414">
        <v>0</v>
      </c>
      <c r="T92" s="414">
        <v>0</v>
      </c>
      <c r="U92" s="414">
        <v>0</v>
      </c>
      <c r="V92" s="414">
        <v>0</v>
      </c>
      <c r="W92" s="414">
        <v>0</v>
      </c>
      <c r="X92" s="414">
        <v>0</v>
      </c>
      <c r="Y92" s="414">
        <v>0</v>
      </c>
      <c r="Z92" s="414">
        <v>0</v>
      </c>
      <c r="AA92" s="414">
        <v>0</v>
      </c>
      <c r="AB92" s="414">
        <v>0</v>
      </c>
      <c r="AC92" s="414">
        <v>0</v>
      </c>
      <c r="AD92" s="414">
        <v>0</v>
      </c>
      <c r="AE92" s="414">
        <v>0</v>
      </c>
      <c r="AF92" s="414">
        <v>0</v>
      </c>
      <c r="AG92" s="414">
        <v>0</v>
      </c>
      <c r="AH92" s="414">
        <v>0</v>
      </c>
      <c r="AI92" s="414">
        <v>0</v>
      </c>
      <c r="AJ92" s="414">
        <v>0</v>
      </c>
      <c r="AK92" s="414">
        <v>0</v>
      </c>
      <c r="AL92" s="414">
        <v>0</v>
      </c>
      <c r="AM92" s="414">
        <v>0</v>
      </c>
      <c r="AN92" s="414">
        <v>0</v>
      </c>
      <c r="AO92" s="414">
        <v>0</v>
      </c>
      <c r="AP92" s="414">
        <v>0</v>
      </c>
      <c r="AQ92" s="414">
        <v>0</v>
      </c>
      <c r="AR92" s="414">
        <v>0</v>
      </c>
      <c r="AS92" s="414">
        <v>0</v>
      </c>
      <c r="AT92" s="414">
        <v>0</v>
      </c>
      <c r="AU92" s="414"/>
      <c r="AV92" s="414"/>
      <c r="AW92" s="414"/>
      <c r="AX92" s="414"/>
      <c r="AY92" s="414"/>
      <c r="AZ92" s="414"/>
      <c r="BA92" s="414"/>
      <c r="BB92" s="414"/>
      <c r="BC92" s="414"/>
      <c r="BD92" s="414"/>
      <c r="BE92" s="414"/>
      <c r="BF92" s="414"/>
      <c r="BG92" s="414"/>
      <c r="BH92" s="414"/>
      <c r="BI92" s="414"/>
      <c r="BJ92" s="414"/>
      <c r="BK92" s="414"/>
      <c r="BL92" s="414"/>
      <c r="BM92" s="414"/>
      <c r="BN92" s="414"/>
      <c r="BO92" s="414"/>
      <c r="BP92" s="414"/>
      <c r="BQ92" s="414"/>
      <c r="BR92" s="414"/>
      <c r="BS92" s="414"/>
      <c r="BT92" s="414"/>
      <c r="BU92" s="414"/>
      <c r="BV92" s="414"/>
      <c r="BW92" s="414"/>
      <c r="BX92" s="414"/>
      <c r="BY92" s="414"/>
      <c r="BZ92" s="414"/>
      <c r="CA92" s="414"/>
      <c r="CB92" s="414"/>
    </row>
    <row r="93" spans="1:80" x14ac:dyDescent="0.25">
      <c r="B93" s="412">
        <v>325</v>
      </c>
      <c r="C93" s="302" t="s">
        <v>261</v>
      </c>
      <c r="D93" s="302">
        <v>0</v>
      </c>
      <c r="E93" s="413">
        <v>0</v>
      </c>
      <c r="F93" s="413">
        <v>0</v>
      </c>
      <c r="G93" s="413">
        <v>0</v>
      </c>
      <c r="H93" s="413">
        <v>0</v>
      </c>
      <c r="I93" s="413">
        <v>0</v>
      </c>
      <c r="J93" s="413">
        <v>0</v>
      </c>
      <c r="K93" s="413">
        <v>0</v>
      </c>
      <c r="L93" s="413">
        <v>0</v>
      </c>
      <c r="M93" s="413">
        <v>0</v>
      </c>
      <c r="N93" s="413">
        <v>0</v>
      </c>
      <c r="O93" s="413">
        <v>0</v>
      </c>
      <c r="P93" s="413">
        <v>0</v>
      </c>
      <c r="Q93" s="413">
        <v>0</v>
      </c>
      <c r="R93" s="413">
        <v>0</v>
      </c>
      <c r="S93" s="413">
        <v>0</v>
      </c>
      <c r="T93" s="413">
        <v>0</v>
      </c>
      <c r="U93" s="413">
        <v>0</v>
      </c>
      <c r="V93" s="413">
        <v>0</v>
      </c>
      <c r="W93" s="413">
        <v>0</v>
      </c>
      <c r="X93" s="413">
        <v>0</v>
      </c>
      <c r="Y93" s="413">
        <v>0</v>
      </c>
      <c r="Z93" s="413">
        <v>0</v>
      </c>
      <c r="AA93" s="413">
        <v>0</v>
      </c>
      <c r="AB93" s="413">
        <v>0</v>
      </c>
      <c r="AC93" s="413">
        <v>0</v>
      </c>
      <c r="AD93" s="413">
        <v>0</v>
      </c>
      <c r="AE93" s="413">
        <v>0</v>
      </c>
      <c r="AF93" s="413">
        <v>0</v>
      </c>
      <c r="AG93" s="413">
        <v>0</v>
      </c>
      <c r="AH93" s="413">
        <v>0</v>
      </c>
      <c r="AI93" s="413">
        <v>0</v>
      </c>
      <c r="AJ93" s="413">
        <v>0</v>
      </c>
      <c r="AK93" s="413">
        <v>0</v>
      </c>
      <c r="AL93" s="413">
        <v>0</v>
      </c>
      <c r="AM93" s="413">
        <v>0</v>
      </c>
      <c r="AN93" s="413">
        <v>0</v>
      </c>
      <c r="AO93" s="413">
        <v>0</v>
      </c>
      <c r="AP93" s="413">
        <v>0</v>
      </c>
      <c r="AQ93" s="413">
        <v>0</v>
      </c>
      <c r="AR93" s="413">
        <v>0</v>
      </c>
      <c r="AS93" s="413">
        <v>0</v>
      </c>
      <c r="AT93" s="413">
        <v>0</v>
      </c>
      <c r="AU93" s="413"/>
      <c r="AV93" s="413"/>
      <c r="AW93" s="413"/>
      <c r="AX93" s="413"/>
      <c r="AY93" s="413"/>
      <c r="AZ93" s="413"/>
      <c r="BA93" s="413"/>
      <c r="BB93" s="413"/>
      <c r="BC93" s="413"/>
      <c r="BD93" s="413"/>
      <c r="BE93" s="413"/>
      <c r="BF93" s="413"/>
      <c r="BG93" s="413"/>
      <c r="BH93" s="413"/>
      <c r="BI93" s="413"/>
      <c r="BJ93" s="413"/>
      <c r="BK93" s="413"/>
      <c r="BL93" s="413"/>
      <c r="BM93" s="413"/>
      <c r="BN93" s="413"/>
      <c r="BO93" s="413"/>
      <c r="BP93" s="413"/>
      <c r="BQ93" s="413"/>
      <c r="BR93" s="413"/>
      <c r="BS93" s="413"/>
      <c r="BT93" s="413"/>
      <c r="BU93" s="413"/>
      <c r="BV93" s="413"/>
      <c r="BW93" s="413"/>
      <c r="BX93" s="413"/>
      <c r="BY93" s="413"/>
      <c r="BZ93" s="413"/>
      <c r="CA93" s="413"/>
      <c r="CB93" s="413"/>
    </row>
    <row r="94" spans="1:80" x14ac:dyDescent="0.25">
      <c r="B94" s="412">
        <v>326</v>
      </c>
      <c r="C94" s="302" t="e">
        <v>#VALUE!</v>
      </c>
      <c r="D94" s="302">
        <v>0</v>
      </c>
      <c r="E94" s="413">
        <v>0</v>
      </c>
      <c r="F94" s="413">
        <v>0</v>
      </c>
      <c r="G94" s="413">
        <v>0</v>
      </c>
      <c r="H94" s="413">
        <v>0</v>
      </c>
      <c r="I94" s="413">
        <v>0</v>
      </c>
      <c r="J94" s="413">
        <v>0</v>
      </c>
      <c r="K94" s="413">
        <v>0</v>
      </c>
      <c r="L94" s="413">
        <v>0</v>
      </c>
      <c r="M94" s="413">
        <v>0</v>
      </c>
      <c r="N94" s="413">
        <v>0</v>
      </c>
      <c r="O94" s="413">
        <v>0</v>
      </c>
      <c r="P94" s="413">
        <v>0</v>
      </c>
      <c r="Q94" s="413">
        <v>0</v>
      </c>
      <c r="R94" s="413">
        <v>0</v>
      </c>
      <c r="S94" s="413">
        <v>0</v>
      </c>
      <c r="T94" s="413">
        <v>0</v>
      </c>
      <c r="U94" s="413">
        <v>0</v>
      </c>
      <c r="V94" s="413">
        <v>0</v>
      </c>
      <c r="W94" s="413">
        <v>0</v>
      </c>
      <c r="X94" s="413">
        <v>0</v>
      </c>
      <c r="Y94" s="413">
        <v>0</v>
      </c>
      <c r="Z94" s="413">
        <v>0</v>
      </c>
      <c r="AA94" s="413">
        <v>0</v>
      </c>
      <c r="AB94" s="413">
        <v>0</v>
      </c>
      <c r="AC94" s="413">
        <v>0</v>
      </c>
      <c r="AD94" s="413">
        <v>0</v>
      </c>
      <c r="AE94" s="413">
        <v>0</v>
      </c>
      <c r="AF94" s="413">
        <v>0</v>
      </c>
      <c r="AG94" s="413">
        <v>0</v>
      </c>
      <c r="AH94" s="413">
        <v>0</v>
      </c>
      <c r="AI94" s="413">
        <v>0</v>
      </c>
      <c r="AJ94" s="413">
        <v>0</v>
      </c>
      <c r="AK94" s="413">
        <v>0</v>
      </c>
      <c r="AL94" s="413">
        <v>0</v>
      </c>
      <c r="AM94" s="413">
        <v>0</v>
      </c>
      <c r="AN94" s="413">
        <v>0</v>
      </c>
      <c r="AO94" s="413">
        <v>0</v>
      </c>
      <c r="AP94" s="413">
        <v>0</v>
      </c>
      <c r="AQ94" s="413">
        <v>0</v>
      </c>
      <c r="AR94" s="413">
        <v>0</v>
      </c>
      <c r="AS94" s="413">
        <v>0</v>
      </c>
      <c r="AT94" s="413">
        <v>0</v>
      </c>
      <c r="AU94" s="413"/>
      <c r="AV94" s="413"/>
      <c r="AW94" s="413"/>
      <c r="AX94" s="413"/>
      <c r="AY94" s="413"/>
      <c r="AZ94" s="413"/>
      <c r="BA94" s="413"/>
      <c r="BB94" s="413"/>
      <c r="BC94" s="413"/>
      <c r="BD94" s="413"/>
      <c r="BE94" s="413"/>
      <c r="BF94" s="413"/>
      <c r="BG94" s="413"/>
      <c r="BH94" s="413"/>
      <c r="BI94" s="413"/>
      <c r="BJ94" s="413"/>
      <c r="BK94" s="413"/>
      <c r="BL94" s="413"/>
      <c r="BM94" s="413"/>
      <c r="BN94" s="413"/>
      <c r="BO94" s="413"/>
      <c r="BP94" s="413"/>
      <c r="BQ94" s="413"/>
      <c r="BR94" s="413"/>
      <c r="BS94" s="413"/>
      <c r="BT94" s="413"/>
      <c r="BU94" s="413"/>
      <c r="BV94" s="413"/>
      <c r="BW94" s="413"/>
      <c r="BX94" s="413"/>
      <c r="BY94" s="413"/>
      <c r="BZ94" s="413"/>
      <c r="CA94" s="413"/>
      <c r="CB94" s="413"/>
    </row>
    <row r="95" spans="1:80" x14ac:dyDescent="0.25">
      <c r="B95" s="412">
        <v>327</v>
      </c>
      <c r="C95" s="302" t="s">
        <v>1481</v>
      </c>
      <c r="D95" s="302">
        <v>0</v>
      </c>
      <c r="E95" s="413">
        <v>0</v>
      </c>
      <c r="F95" s="413">
        <v>0</v>
      </c>
      <c r="G95" s="413">
        <v>0</v>
      </c>
      <c r="H95" s="413">
        <v>0</v>
      </c>
      <c r="I95" s="413">
        <v>0</v>
      </c>
      <c r="J95" s="413">
        <v>0</v>
      </c>
      <c r="K95" s="413">
        <v>0</v>
      </c>
      <c r="L95" s="413">
        <v>0</v>
      </c>
      <c r="M95" s="413">
        <v>0</v>
      </c>
      <c r="N95" s="413">
        <v>0</v>
      </c>
      <c r="O95" s="413">
        <v>0</v>
      </c>
      <c r="P95" s="413">
        <v>0</v>
      </c>
      <c r="Q95" s="413">
        <v>0</v>
      </c>
      <c r="R95" s="413">
        <v>0</v>
      </c>
      <c r="S95" s="413">
        <v>0</v>
      </c>
      <c r="T95" s="413">
        <v>0</v>
      </c>
      <c r="U95" s="413">
        <v>0</v>
      </c>
      <c r="V95" s="413">
        <v>0</v>
      </c>
      <c r="W95" s="413">
        <v>0</v>
      </c>
      <c r="X95" s="413">
        <v>0</v>
      </c>
      <c r="Y95" s="413">
        <v>0</v>
      </c>
      <c r="Z95" s="413">
        <v>0</v>
      </c>
      <c r="AA95" s="413">
        <v>0</v>
      </c>
      <c r="AB95" s="413">
        <v>0</v>
      </c>
      <c r="AC95" s="413">
        <v>0</v>
      </c>
      <c r="AD95" s="413">
        <v>0</v>
      </c>
      <c r="AE95" s="413">
        <v>0</v>
      </c>
      <c r="AF95" s="413">
        <v>0</v>
      </c>
      <c r="AG95" s="413">
        <v>0</v>
      </c>
      <c r="AH95" s="413">
        <v>0</v>
      </c>
      <c r="AI95" s="413">
        <v>0</v>
      </c>
      <c r="AJ95" s="413">
        <v>0</v>
      </c>
      <c r="AK95" s="413">
        <v>0</v>
      </c>
      <c r="AL95" s="413">
        <v>0</v>
      </c>
      <c r="AM95" s="413">
        <v>0</v>
      </c>
      <c r="AN95" s="413">
        <v>0</v>
      </c>
      <c r="AO95" s="413">
        <v>0</v>
      </c>
      <c r="AP95" s="413">
        <v>0</v>
      </c>
      <c r="AQ95" s="413">
        <v>0</v>
      </c>
      <c r="AR95" s="413">
        <v>0</v>
      </c>
      <c r="AS95" s="413">
        <v>0</v>
      </c>
      <c r="AT95" s="413">
        <v>0</v>
      </c>
      <c r="AU95" s="413"/>
      <c r="AV95" s="413"/>
      <c r="AW95" s="413"/>
      <c r="AX95" s="413"/>
      <c r="AY95" s="413"/>
      <c r="AZ95" s="413"/>
      <c r="BA95" s="413"/>
      <c r="BB95" s="413"/>
      <c r="BC95" s="413"/>
      <c r="BD95" s="413"/>
      <c r="BE95" s="413"/>
      <c r="BF95" s="413"/>
      <c r="BG95" s="413"/>
      <c r="BH95" s="413"/>
      <c r="BI95" s="413"/>
      <c r="BJ95" s="413"/>
      <c r="BK95" s="413"/>
      <c r="BL95" s="413"/>
      <c r="BM95" s="413"/>
      <c r="BN95" s="413"/>
      <c r="BO95" s="413"/>
      <c r="BP95" s="413"/>
      <c r="BQ95" s="413"/>
      <c r="BR95" s="413"/>
      <c r="BS95" s="413"/>
      <c r="BT95" s="413"/>
      <c r="BU95" s="413"/>
      <c r="BV95" s="413"/>
      <c r="BW95" s="413"/>
      <c r="BX95" s="413"/>
      <c r="BY95" s="413"/>
      <c r="BZ95" s="413"/>
      <c r="CA95" s="413"/>
      <c r="CB95" s="413"/>
    </row>
    <row r="96" spans="1:80" x14ac:dyDescent="0.25">
      <c r="B96" s="412">
        <v>328</v>
      </c>
      <c r="C96" s="302" t="s">
        <v>1482</v>
      </c>
      <c r="D96" s="302">
        <v>0</v>
      </c>
      <c r="E96" s="413">
        <v>0</v>
      </c>
      <c r="F96" s="413">
        <v>0</v>
      </c>
      <c r="G96" s="413">
        <v>0</v>
      </c>
      <c r="H96" s="413">
        <v>0</v>
      </c>
      <c r="I96" s="413">
        <v>0</v>
      </c>
      <c r="J96" s="413">
        <v>0</v>
      </c>
      <c r="K96" s="413">
        <v>0</v>
      </c>
      <c r="L96" s="413">
        <v>0</v>
      </c>
      <c r="M96" s="413">
        <v>0</v>
      </c>
      <c r="N96" s="413">
        <v>0</v>
      </c>
      <c r="O96" s="413">
        <v>0</v>
      </c>
      <c r="P96" s="413">
        <v>0</v>
      </c>
      <c r="Q96" s="413">
        <v>0</v>
      </c>
      <c r="R96" s="413">
        <v>0</v>
      </c>
      <c r="S96" s="413">
        <v>0</v>
      </c>
      <c r="T96" s="413">
        <v>0</v>
      </c>
      <c r="U96" s="413">
        <v>0</v>
      </c>
      <c r="V96" s="413">
        <v>0</v>
      </c>
      <c r="W96" s="413">
        <v>0</v>
      </c>
      <c r="X96" s="413">
        <v>0</v>
      </c>
      <c r="Y96" s="413">
        <v>0</v>
      </c>
      <c r="Z96" s="413">
        <v>0</v>
      </c>
      <c r="AA96" s="413">
        <v>0</v>
      </c>
      <c r="AB96" s="413">
        <v>0</v>
      </c>
      <c r="AC96" s="413">
        <v>0</v>
      </c>
      <c r="AD96" s="413">
        <v>0</v>
      </c>
      <c r="AE96" s="413">
        <v>0</v>
      </c>
      <c r="AF96" s="413">
        <v>0</v>
      </c>
      <c r="AG96" s="413">
        <v>0</v>
      </c>
      <c r="AH96" s="413">
        <v>0</v>
      </c>
      <c r="AI96" s="413">
        <v>0</v>
      </c>
      <c r="AJ96" s="413">
        <v>0</v>
      </c>
      <c r="AK96" s="413">
        <v>0</v>
      </c>
      <c r="AL96" s="413">
        <v>0</v>
      </c>
      <c r="AM96" s="413">
        <v>0</v>
      </c>
      <c r="AN96" s="413">
        <v>0</v>
      </c>
      <c r="AO96" s="413">
        <v>0</v>
      </c>
      <c r="AP96" s="413">
        <v>0</v>
      </c>
      <c r="AQ96" s="413">
        <v>0</v>
      </c>
      <c r="AR96" s="413">
        <v>0</v>
      </c>
      <c r="AS96" s="413">
        <v>0</v>
      </c>
      <c r="AT96" s="413">
        <v>0</v>
      </c>
      <c r="AU96" s="413"/>
      <c r="AV96" s="413"/>
      <c r="AW96" s="413"/>
      <c r="AX96" s="413"/>
      <c r="AY96" s="413"/>
      <c r="AZ96" s="413"/>
      <c r="BA96" s="413"/>
      <c r="BB96" s="413"/>
      <c r="BC96" s="413"/>
      <c r="BD96" s="413"/>
      <c r="BE96" s="413"/>
      <c r="BF96" s="413"/>
      <c r="BG96" s="413"/>
      <c r="BH96" s="413"/>
      <c r="BI96" s="413"/>
      <c r="BJ96" s="413"/>
      <c r="BK96" s="413"/>
      <c r="BL96" s="413"/>
      <c r="BM96" s="413"/>
      <c r="BN96" s="413"/>
      <c r="BO96" s="413"/>
      <c r="BP96" s="413"/>
      <c r="BQ96" s="413"/>
      <c r="BR96" s="413"/>
      <c r="BS96" s="413"/>
      <c r="BT96" s="413"/>
      <c r="BU96" s="413"/>
      <c r="BV96" s="413"/>
      <c r="BW96" s="413"/>
      <c r="BX96" s="413"/>
      <c r="BY96" s="413"/>
      <c r="BZ96" s="413"/>
      <c r="CA96" s="413"/>
      <c r="CB96" s="413"/>
    </row>
    <row r="97" spans="1:80" x14ac:dyDescent="0.25">
      <c r="B97" s="412">
        <v>330</v>
      </c>
      <c r="C97" s="302" t="s">
        <v>1483</v>
      </c>
      <c r="D97" s="302">
        <v>0</v>
      </c>
      <c r="E97" s="413">
        <v>0</v>
      </c>
      <c r="F97" s="413">
        <v>0</v>
      </c>
      <c r="G97" s="413">
        <v>0</v>
      </c>
      <c r="H97" s="413">
        <v>0</v>
      </c>
      <c r="I97" s="413">
        <v>0</v>
      </c>
      <c r="J97" s="413">
        <v>0</v>
      </c>
      <c r="K97" s="413">
        <v>0</v>
      </c>
      <c r="L97" s="413">
        <v>0</v>
      </c>
      <c r="M97" s="413">
        <v>0</v>
      </c>
      <c r="N97" s="413">
        <v>0</v>
      </c>
      <c r="O97" s="413">
        <v>0</v>
      </c>
      <c r="P97" s="413">
        <v>0</v>
      </c>
      <c r="Q97" s="413">
        <v>0</v>
      </c>
      <c r="R97" s="413">
        <v>0</v>
      </c>
      <c r="S97" s="413">
        <v>0</v>
      </c>
      <c r="T97" s="413">
        <v>0</v>
      </c>
      <c r="U97" s="413">
        <v>0</v>
      </c>
      <c r="V97" s="413">
        <v>0</v>
      </c>
      <c r="W97" s="413">
        <v>0</v>
      </c>
      <c r="X97" s="413">
        <v>0</v>
      </c>
      <c r="Y97" s="413">
        <v>0</v>
      </c>
      <c r="Z97" s="413">
        <v>0</v>
      </c>
      <c r="AA97" s="413">
        <v>0</v>
      </c>
      <c r="AB97" s="413">
        <v>0</v>
      </c>
      <c r="AC97" s="413">
        <v>0</v>
      </c>
      <c r="AD97" s="413">
        <v>0</v>
      </c>
      <c r="AE97" s="413">
        <v>0</v>
      </c>
      <c r="AF97" s="413">
        <v>0</v>
      </c>
      <c r="AG97" s="413">
        <v>0</v>
      </c>
      <c r="AH97" s="413">
        <v>0</v>
      </c>
      <c r="AI97" s="413">
        <v>0</v>
      </c>
      <c r="AJ97" s="413">
        <v>0</v>
      </c>
      <c r="AK97" s="413">
        <v>0</v>
      </c>
      <c r="AL97" s="413">
        <v>0</v>
      </c>
      <c r="AM97" s="413">
        <v>0</v>
      </c>
      <c r="AN97" s="413">
        <v>0</v>
      </c>
      <c r="AO97" s="413">
        <v>0</v>
      </c>
      <c r="AP97" s="413">
        <v>0</v>
      </c>
      <c r="AQ97" s="413">
        <v>0</v>
      </c>
      <c r="AR97" s="413">
        <v>0</v>
      </c>
      <c r="AS97" s="413">
        <v>0</v>
      </c>
      <c r="AT97" s="413">
        <v>0</v>
      </c>
      <c r="AU97" s="413"/>
      <c r="AV97" s="413"/>
      <c r="AW97" s="413"/>
      <c r="AX97" s="413"/>
      <c r="AY97" s="413"/>
      <c r="AZ97" s="413"/>
      <c r="BA97" s="413"/>
      <c r="BB97" s="413"/>
      <c r="BC97" s="413"/>
      <c r="BD97" s="413"/>
      <c r="BE97" s="413"/>
      <c r="BF97" s="413"/>
      <c r="BG97" s="413"/>
      <c r="BH97" s="413"/>
      <c r="BI97" s="413"/>
      <c r="BJ97" s="413"/>
      <c r="BK97" s="413"/>
      <c r="BL97" s="413"/>
      <c r="BM97" s="413"/>
      <c r="BN97" s="413"/>
      <c r="BO97" s="413"/>
      <c r="BP97" s="413"/>
      <c r="BQ97" s="413"/>
      <c r="BR97" s="413"/>
      <c r="BS97" s="413"/>
      <c r="BT97" s="413"/>
      <c r="BU97" s="413"/>
      <c r="BV97" s="413"/>
      <c r="BW97" s="413"/>
      <c r="BX97" s="413"/>
      <c r="BY97" s="413"/>
      <c r="BZ97" s="413"/>
      <c r="CA97" s="413"/>
      <c r="CB97" s="413"/>
    </row>
    <row r="98" spans="1:80" x14ac:dyDescent="0.25">
      <c r="B98" s="412">
        <v>331</v>
      </c>
      <c r="C98" s="302" t="s">
        <v>1484</v>
      </c>
      <c r="D98" s="302">
        <v>0</v>
      </c>
      <c r="E98" s="413">
        <v>0</v>
      </c>
      <c r="F98" s="413">
        <v>0</v>
      </c>
      <c r="G98" s="413">
        <v>0</v>
      </c>
      <c r="H98" s="413">
        <v>0</v>
      </c>
      <c r="I98" s="413">
        <v>0</v>
      </c>
      <c r="J98" s="413">
        <v>0</v>
      </c>
      <c r="K98" s="413">
        <v>0</v>
      </c>
      <c r="L98" s="413">
        <v>0</v>
      </c>
      <c r="M98" s="413">
        <v>0</v>
      </c>
      <c r="N98" s="413">
        <v>0</v>
      </c>
      <c r="O98" s="413">
        <v>0</v>
      </c>
      <c r="P98" s="413">
        <v>0</v>
      </c>
      <c r="Q98" s="413">
        <v>0</v>
      </c>
      <c r="R98" s="413">
        <v>0</v>
      </c>
      <c r="S98" s="413">
        <v>0</v>
      </c>
      <c r="T98" s="413">
        <v>0</v>
      </c>
      <c r="U98" s="413">
        <v>0</v>
      </c>
      <c r="V98" s="413">
        <v>0</v>
      </c>
      <c r="W98" s="413">
        <v>0</v>
      </c>
      <c r="X98" s="413">
        <v>0</v>
      </c>
      <c r="Y98" s="413">
        <v>0</v>
      </c>
      <c r="Z98" s="413">
        <v>0</v>
      </c>
      <c r="AA98" s="413">
        <v>0</v>
      </c>
      <c r="AB98" s="413">
        <v>0</v>
      </c>
      <c r="AC98" s="413">
        <v>0</v>
      </c>
      <c r="AD98" s="413">
        <v>0</v>
      </c>
      <c r="AE98" s="413">
        <v>0</v>
      </c>
      <c r="AF98" s="413">
        <v>0</v>
      </c>
      <c r="AG98" s="413">
        <v>0</v>
      </c>
      <c r="AH98" s="413">
        <v>0</v>
      </c>
      <c r="AI98" s="413">
        <v>0</v>
      </c>
      <c r="AJ98" s="413">
        <v>0</v>
      </c>
      <c r="AK98" s="413">
        <v>0</v>
      </c>
      <c r="AL98" s="413">
        <v>0</v>
      </c>
      <c r="AM98" s="413">
        <v>0</v>
      </c>
      <c r="AN98" s="413">
        <v>0</v>
      </c>
      <c r="AO98" s="413">
        <v>0</v>
      </c>
      <c r="AP98" s="413">
        <v>0</v>
      </c>
      <c r="AQ98" s="413">
        <v>0</v>
      </c>
      <c r="AR98" s="413">
        <v>0</v>
      </c>
      <c r="AS98" s="413">
        <v>0</v>
      </c>
      <c r="AT98" s="413">
        <v>0</v>
      </c>
      <c r="AU98" s="413"/>
      <c r="AV98" s="413"/>
      <c r="AW98" s="413"/>
      <c r="AX98" s="413"/>
      <c r="AY98" s="413"/>
      <c r="AZ98" s="413"/>
      <c r="BA98" s="413"/>
      <c r="BB98" s="413"/>
      <c r="BC98" s="413"/>
      <c r="BD98" s="413"/>
      <c r="BE98" s="413"/>
      <c r="BF98" s="413"/>
      <c r="BG98" s="413"/>
      <c r="BH98" s="413"/>
      <c r="BI98" s="413"/>
      <c r="BJ98" s="413"/>
      <c r="BK98" s="413"/>
      <c r="BL98" s="413"/>
      <c r="BM98" s="413"/>
      <c r="BN98" s="413"/>
      <c r="BO98" s="413"/>
      <c r="BP98" s="413"/>
      <c r="BQ98" s="413"/>
      <c r="BR98" s="413"/>
      <c r="BS98" s="413"/>
      <c r="BT98" s="413"/>
      <c r="BU98" s="413"/>
      <c r="BV98" s="413"/>
      <c r="BW98" s="413"/>
      <c r="BX98" s="413"/>
      <c r="BY98" s="413"/>
      <c r="BZ98" s="413"/>
      <c r="CA98" s="413"/>
      <c r="CB98" s="413"/>
    </row>
    <row r="99" spans="1:80" x14ac:dyDescent="0.25">
      <c r="B99" s="412">
        <v>332</v>
      </c>
      <c r="C99" s="302" t="s">
        <v>1485</v>
      </c>
      <c r="D99" s="302">
        <v>0</v>
      </c>
      <c r="E99" s="413">
        <v>0</v>
      </c>
      <c r="F99" s="413">
        <v>0</v>
      </c>
      <c r="G99" s="413">
        <v>0</v>
      </c>
      <c r="H99" s="413">
        <v>0</v>
      </c>
      <c r="I99" s="413">
        <v>0</v>
      </c>
      <c r="J99" s="413">
        <v>0</v>
      </c>
      <c r="K99" s="413">
        <v>0</v>
      </c>
      <c r="L99" s="413">
        <v>0</v>
      </c>
      <c r="M99" s="413">
        <v>0</v>
      </c>
      <c r="N99" s="413">
        <v>0</v>
      </c>
      <c r="O99" s="413">
        <v>0</v>
      </c>
      <c r="P99" s="413">
        <v>0</v>
      </c>
      <c r="Q99" s="413">
        <v>0</v>
      </c>
      <c r="R99" s="413">
        <v>0</v>
      </c>
      <c r="S99" s="413">
        <v>0</v>
      </c>
      <c r="T99" s="413">
        <v>0</v>
      </c>
      <c r="U99" s="413">
        <v>0</v>
      </c>
      <c r="V99" s="413">
        <v>0</v>
      </c>
      <c r="W99" s="413">
        <v>0</v>
      </c>
      <c r="X99" s="413">
        <v>0</v>
      </c>
      <c r="Y99" s="413">
        <v>0</v>
      </c>
      <c r="Z99" s="413">
        <v>0</v>
      </c>
      <c r="AA99" s="413">
        <v>0</v>
      </c>
      <c r="AB99" s="413">
        <v>0</v>
      </c>
      <c r="AC99" s="413">
        <v>0</v>
      </c>
      <c r="AD99" s="413">
        <v>0</v>
      </c>
      <c r="AE99" s="413">
        <v>0</v>
      </c>
      <c r="AF99" s="413">
        <v>0</v>
      </c>
      <c r="AG99" s="413">
        <v>0</v>
      </c>
      <c r="AH99" s="413">
        <v>0</v>
      </c>
      <c r="AI99" s="413">
        <v>0</v>
      </c>
      <c r="AJ99" s="413">
        <v>0</v>
      </c>
      <c r="AK99" s="413">
        <v>0</v>
      </c>
      <c r="AL99" s="413">
        <v>0</v>
      </c>
      <c r="AM99" s="413">
        <v>0</v>
      </c>
      <c r="AN99" s="413">
        <v>0</v>
      </c>
      <c r="AO99" s="413">
        <v>0</v>
      </c>
      <c r="AP99" s="413">
        <v>0</v>
      </c>
      <c r="AQ99" s="413">
        <v>0</v>
      </c>
      <c r="AR99" s="413">
        <v>0</v>
      </c>
      <c r="AS99" s="413">
        <v>0</v>
      </c>
      <c r="AT99" s="413">
        <v>0</v>
      </c>
      <c r="AU99" s="413"/>
      <c r="AV99" s="413"/>
      <c r="AW99" s="413"/>
      <c r="AX99" s="413"/>
      <c r="AY99" s="413"/>
      <c r="AZ99" s="413"/>
      <c r="BA99" s="413"/>
      <c r="BB99" s="413"/>
      <c r="BC99" s="413"/>
      <c r="BD99" s="413"/>
      <c r="BE99" s="413"/>
      <c r="BF99" s="413"/>
      <c r="BG99" s="413"/>
      <c r="BH99" s="413"/>
      <c r="BI99" s="413"/>
      <c r="BJ99" s="413"/>
      <c r="BK99" s="413"/>
      <c r="BL99" s="413"/>
      <c r="BM99" s="413"/>
      <c r="BN99" s="413"/>
      <c r="BO99" s="413"/>
      <c r="BP99" s="413"/>
      <c r="BQ99" s="413"/>
      <c r="BR99" s="413"/>
      <c r="BS99" s="413"/>
      <c r="BT99" s="413"/>
      <c r="BU99" s="413"/>
      <c r="BV99" s="413"/>
      <c r="BW99" s="413"/>
      <c r="BX99" s="413"/>
      <c r="BY99" s="413"/>
      <c r="BZ99" s="413"/>
      <c r="CA99" s="413"/>
      <c r="CB99" s="413"/>
    </row>
    <row r="100" spans="1:80" x14ac:dyDescent="0.25">
      <c r="A100" s="302">
        <v>333</v>
      </c>
      <c r="B100" s="412">
        <v>333</v>
      </c>
      <c r="C100" s="302" t="s">
        <v>184</v>
      </c>
      <c r="D100" s="302">
        <v>0</v>
      </c>
      <c r="E100" s="413">
        <v>0</v>
      </c>
      <c r="F100" s="413">
        <v>1448275</v>
      </c>
      <c r="G100" s="413">
        <v>0</v>
      </c>
      <c r="H100" s="413">
        <v>0</v>
      </c>
      <c r="I100" s="413">
        <v>214925</v>
      </c>
      <c r="J100" s="413">
        <v>1077884</v>
      </c>
      <c r="K100" s="413">
        <v>0</v>
      </c>
      <c r="L100" s="413">
        <v>0</v>
      </c>
      <c r="M100" s="413">
        <v>0</v>
      </c>
      <c r="N100" s="413">
        <v>0</v>
      </c>
      <c r="O100" s="413">
        <v>0</v>
      </c>
      <c r="P100" s="413">
        <v>0</v>
      </c>
      <c r="Q100" s="413">
        <v>0</v>
      </c>
      <c r="R100" s="413">
        <v>312059</v>
      </c>
      <c r="S100" s="413">
        <v>26564</v>
      </c>
      <c r="T100" s="413">
        <v>129530</v>
      </c>
      <c r="U100" s="413">
        <v>4886552</v>
      </c>
      <c r="V100" s="413">
        <v>0</v>
      </c>
      <c r="W100" s="413">
        <v>90634</v>
      </c>
      <c r="X100" s="413">
        <v>0</v>
      </c>
      <c r="Y100" s="413">
        <v>187198</v>
      </c>
      <c r="Z100" s="413">
        <v>368780</v>
      </c>
      <c r="AA100" s="413">
        <v>0</v>
      </c>
      <c r="AB100" s="413">
        <v>33910</v>
      </c>
      <c r="AC100" s="413">
        <v>145584</v>
      </c>
      <c r="AD100" s="413">
        <v>111791</v>
      </c>
      <c r="AE100" s="413">
        <v>4669301</v>
      </c>
      <c r="AF100" s="413">
        <v>0</v>
      </c>
      <c r="AG100" s="413">
        <v>108380</v>
      </c>
      <c r="AH100" s="413">
        <v>0</v>
      </c>
      <c r="AI100" s="413">
        <v>5216300</v>
      </c>
      <c r="AJ100" s="413">
        <v>1788319</v>
      </c>
      <c r="AK100" s="413">
        <v>265722544</v>
      </c>
      <c r="AL100" s="413">
        <v>1118474</v>
      </c>
      <c r="AM100" s="413">
        <v>363</v>
      </c>
      <c r="AN100" s="413">
        <v>137187</v>
      </c>
      <c r="AO100" s="413">
        <v>27375</v>
      </c>
      <c r="AP100" s="413">
        <v>65973</v>
      </c>
      <c r="AQ100" s="413">
        <v>521877</v>
      </c>
      <c r="AR100" s="413">
        <v>0</v>
      </c>
      <c r="AS100" s="413">
        <v>0</v>
      </c>
      <c r="AT100" s="413">
        <v>155704</v>
      </c>
      <c r="AU100" s="413"/>
      <c r="AV100" s="413"/>
      <c r="AW100" s="413"/>
      <c r="AX100" s="413"/>
      <c r="AY100" s="413"/>
      <c r="AZ100" s="413"/>
      <c r="BA100" s="413"/>
      <c r="BB100" s="413"/>
      <c r="BC100" s="413"/>
      <c r="BD100" s="413"/>
      <c r="BE100" s="413"/>
      <c r="BF100" s="413"/>
      <c r="BG100" s="413"/>
      <c r="BH100" s="413"/>
      <c r="BI100" s="413"/>
      <c r="BJ100" s="413"/>
      <c r="BK100" s="413"/>
      <c r="BL100" s="413"/>
      <c r="BM100" s="413"/>
      <c r="BN100" s="413"/>
      <c r="BO100" s="413"/>
      <c r="BP100" s="413"/>
      <c r="BQ100" s="413"/>
      <c r="BR100" s="413"/>
      <c r="BS100" s="413"/>
      <c r="BT100" s="413"/>
      <c r="BU100" s="413"/>
      <c r="BV100" s="413"/>
      <c r="BW100" s="413"/>
      <c r="BX100" s="413"/>
      <c r="BY100" s="413"/>
      <c r="BZ100" s="413"/>
      <c r="CA100" s="413"/>
      <c r="CB100" s="413"/>
    </row>
    <row r="101" spans="1:80" x14ac:dyDescent="0.25">
      <c r="A101" s="302">
        <v>334</v>
      </c>
      <c r="B101" s="412">
        <v>334</v>
      </c>
      <c r="C101" s="302" t="s">
        <v>276</v>
      </c>
      <c r="D101" s="302">
        <v>0</v>
      </c>
      <c r="E101" s="413">
        <v>0</v>
      </c>
      <c r="F101" s="413">
        <v>18935</v>
      </c>
      <c r="G101" s="413">
        <v>20389915</v>
      </c>
      <c r="H101" s="413">
        <v>0</v>
      </c>
      <c r="I101" s="413">
        <v>1225888</v>
      </c>
      <c r="J101" s="413">
        <v>655753</v>
      </c>
      <c r="K101" s="413">
        <v>7072246</v>
      </c>
      <c r="L101" s="413">
        <v>0</v>
      </c>
      <c r="M101" s="413">
        <v>0</v>
      </c>
      <c r="N101" s="413">
        <v>3700648</v>
      </c>
      <c r="O101" s="413">
        <v>0</v>
      </c>
      <c r="P101" s="413">
        <v>0</v>
      </c>
      <c r="Q101" s="413">
        <v>0</v>
      </c>
      <c r="R101" s="413">
        <v>0</v>
      </c>
      <c r="S101" s="413">
        <v>0</v>
      </c>
      <c r="T101" s="413">
        <v>0</v>
      </c>
      <c r="U101" s="413">
        <v>0</v>
      </c>
      <c r="V101" s="413">
        <v>0</v>
      </c>
      <c r="W101" s="413">
        <v>27742</v>
      </c>
      <c r="X101" s="413">
        <v>0</v>
      </c>
      <c r="Y101" s="413">
        <v>0</v>
      </c>
      <c r="Z101" s="413">
        <v>2419740</v>
      </c>
      <c r="AA101" s="413">
        <v>0</v>
      </c>
      <c r="AB101" s="413">
        <v>387694</v>
      </c>
      <c r="AC101" s="413">
        <v>0</v>
      </c>
      <c r="AD101" s="413">
        <v>503543</v>
      </c>
      <c r="AE101" s="413">
        <v>28975225</v>
      </c>
      <c r="AF101" s="413">
        <v>0</v>
      </c>
      <c r="AG101" s="413">
        <v>0</v>
      </c>
      <c r="AH101" s="413">
        <v>0</v>
      </c>
      <c r="AI101" s="413">
        <v>32715227</v>
      </c>
      <c r="AJ101" s="413">
        <v>0</v>
      </c>
      <c r="AK101" s="413">
        <v>19043051</v>
      </c>
      <c r="AL101" s="413">
        <v>1582239</v>
      </c>
      <c r="AM101" s="413">
        <v>840139</v>
      </c>
      <c r="AN101" s="413">
        <v>38552</v>
      </c>
      <c r="AO101" s="413">
        <v>79986</v>
      </c>
      <c r="AP101" s="413">
        <v>154213</v>
      </c>
      <c r="AQ101" s="413">
        <v>1927708</v>
      </c>
      <c r="AR101" s="413">
        <v>0</v>
      </c>
      <c r="AS101" s="413">
        <v>1304261</v>
      </c>
      <c r="AT101" s="413">
        <v>0</v>
      </c>
      <c r="AU101" s="413"/>
      <c r="AV101" s="413"/>
      <c r="AW101" s="413"/>
      <c r="AX101" s="413"/>
      <c r="AY101" s="413"/>
      <c r="AZ101" s="413"/>
      <c r="BA101" s="413"/>
      <c r="BB101" s="413"/>
      <c r="BC101" s="413"/>
      <c r="BD101" s="413"/>
      <c r="BE101" s="413"/>
      <c r="BF101" s="413"/>
      <c r="BG101" s="413"/>
      <c r="BH101" s="413"/>
      <c r="BI101" s="413"/>
      <c r="BJ101" s="413"/>
      <c r="BK101" s="413"/>
      <c r="BL101" s="413"/>
      <c r="BM101" s="413"/>
      <c r="BN101" s="413"/>
      <c r="BO101" s="413"/>
      <c r="BP101" s="413"/>
      <c r="BQ101" s="413"/>
      <c r="BR101" s="413"/>
      <c r="BS101" s="413"/>
      <c r="BT101" s="413"/>
      <c r="BU101" s="413"/>
      <c r="BV101" s="413"/>
      <c r="BW101" s="413"/>
      <c r="BX101" s="413"/>
      <c r="BY101" s="413"/>
      <c r="BZ101" s="413"/>
      <c r="CA101" s="413"/>
      <c r="CB101" s="413"/>
    </row>
    <row r="102" spans="1:80" x14ac:dyDescent="0.25">
      <c r="A102" s="302">
        <v>335</v>
      </c>
      <c r="B102" s="412">
        <v>335</v>
      </c>
      <c r="C102" s="302" t="s">
        <v>117</v>
      </c>
      <c r="D102" s="302">
        <v>0</v>
      </c>
      <c r="E102" s="413">
        <v>0</v>
      </c>
      <c r="F102" s="413">
        <v>0</v>
      </c>
      <c r="G102" s="413">
        <v>0</v>
      </c>
      <c r="H102" s="413">
        <v>0</v>
      </c>
      <c r="I102" s="413">
        <v>0</v>
      </c>
      <c r="J102" s="413">
        <v>0</v>
      </c>
      <c r="K102" s="413">
        <v>0</v>
      </c>
      <c r="L102" s="413">
        <v>0</v>
      </c>
      <c r="M102" s="413">
        <v>0</v>
      </c>
      <c r="N102" s="413">
        <v>0</v>
      </c>
      <c r="O102" s="413">
        <v>0</v>
      </c>
      <c r="P102" s="413">
        <v>0</v>
      </c>
      <c r="Q102" s="413">
        <v>0</v>
      </c>
      <c r="R102" s="413">
        <v>0</v>
      </c>
      <c r="S102" s="413">
        <v>0</v>
      </c>
      <c r="T102" s="413">
        <v>14780</v>
      </c>
      <c r="U102" s="413">
        <v>0</v>
      </c>
      <c r="V102" s="413">
        <v>0</v>
      </c>
      <c r="W102" s="413">
        <v>0</v>
      </c>
      <c r="X102" s="413">
        <v>0</v>
      </c>
      <c r="Y102" s="413">
        <v>0</v>
      </c>
      <c r="Z102" s="413">
        <v>0</v>
      </c>
      <c r="AA102" s="413">
        <v>0</v>
      </c>
      <c r="AB102" s="413">
        <v>0</v>
      </c>
      <c r="AC102" s="413">
        <v>0</v>
      </c>
      <c r="AD102" s="413">
        <v>0</v>
      </c>
      <c r="AE102" s="413">
        <v>0</v>
      </c>
      <c r="AF102" s="413">
        <v>0</v>
      </c>
      <c r="AG102" s="413">
        <v>0</v>
      </c>
      <c r="AH102" s="413">
        <v>0</v>
      </c>
      <c r="AI102" s="413">
        <v>93705</v>
      </c>
      <c r="AJ102" s="413">
        <v>0</v>
      </c>
      <c r="AK102" s="413">
        <v>0</v>
      </c>
      <c r="AL102" s="413">
        <v>0</v>
      </c>
      <c r="AM102" s="413">
        <v>0</v>
      </c>
      <c r="AN102" s="413">
        <v>0</v>
      </c>
      <c r="AO102" s="413">
        <v>0</v>
      </c>
      <c r="AP102" s="413">
        <v>0</v>
      </c>
      <c r="AQ102" s="413">
        <v>0</v>
      </c>
      <c r="AR102" s="413">
        <v>0</v>
      </c>
      <c r="AS102" s="413">
        <v>0</v>
      </c>
      <c r="AT102" s="413">
        <v>0</v>
      </c>
      <c r="AU102" s="413"/>
      <c r="AV102" s="413"/>
      <c r="AW102" s="413"/>
      <c r="AX102" s="413"/>
      <c r="AY102" s="413"/>
      <c r="AZ102" s="413"/>
      <c r="BA102" s="413"/>
      <c r="BB102" s="413"/>
      <c r="BC102" s="413"/>
      <c r="BD102" s="413"/>
      <c r="BE102" s="413"/>
      <c r="BF102" s="413"/>
      <c r="BG102" s="413"/>
      <c r="BH102" s="413"/>
      <c r="BI102" s="413"/>
      <c r="BJ102" s="413"/>
      <c r="BK102" s="413"/>
      <c r="BL102" s="413"/>
      <c r="BM102" s="413"/>
      <c r="BN102" s="413"/>
      <c r="BO102" s="413"/>
      <c r="BP102" s="413"/>
      <c r="BQ102" s="413"/>
      <c r="BR102" s="413"/>
      <c r="BS102" s="413"/>
      <c r="BT102" s="413"/>
      <c r="BU102" s="413"/>
      <c r="BV102" s="413"/>
      <c r="BW102" s="413"/>
      <c r="BX102" s="413"/>
      <c r="BY102" s="413"/>
      <c r="BZ102" s="413"/>
      <c r="CA102" s="413"/>
      <c r="CB102" s="413"/>
    </row>
    <row r="103" spans="1:80" x14ac:dyDescent="0.25">
      <c r="A103" s="302">
        <v>336</v>
      </c>
      <c r="B103" s="412">
        <v>336</v>
      </c>
      <c r="C103" s="302" t="s">
        <v>393</v>
      </c>
      <c r="D103" s="302">
        <v>0</v>
      </c>
      <c r="E103" s="413">
        <v>0</v>
      </c>
      <c r="F103" s="413">
        <v>1121897</v>
      </c>
      <c r="G103" s="413">
        <v>0</v>
      </c>
      <c r="H103" s="413">
        <v>0</v>
      </c>
      <c r="I103" s="413">
        <v>4110</v>
      </c>
      <c r="J103" s="413">
        <v>61863</v>
      </c>
      <c r="K103" s="413">
        <v>0</v>
      </c>
      <c r="L103" s="413">
        <v>0</v>
      </c>
      <c r="M103" s="413">
        <v>0</v>
      </c>
      <c r="N103" s="413">
        <v>0</v>
      </c>
      <c r="O103" s="413">
        <v>0</v>
      </c>
      <c r="P103" s="413">
        <v>0</v>
      </c>
      <c r="Q103" s="413">
        <v>0</v>
      </c>
      <c r="R103" s="413">
        <v>0</v>
      </c>
      <c r="S103" s="413">
        <v>0</v>
      </c>
      <c r="T103" s="413">
        <v>15777</v>
      </c>
      <c r="U103" s="413">
        <v>287845</v>
      </c>
      <c r="V103" s="413">
        <v>0</v>
      </c>
      <c r="W103" s="413">
        <v>225</v>
      </c>
      <c r="X103" s="413">
        <v>0</v>
      </c>
      <c r="Y103" s="413">
        <v>140494</v>
      </c>
      <c r="Z103" s="413">
        <v>3401</v>
      </c>
      <c r="AA103" s="413">
        <v>0</v>
      </c>
      <c r="AB103" s="413">
        <v>0</v>
      </c>
      <c r="AC103" s="413">
        <v>3539</v>
      </c>
      <c r="AD103" s="413">
        <v>15381</v>
      </c>
      <c r="AE103" s="413">
        <v>7111084</v>
      </c>
      <c r="AF103" s="413">
        <v>0</v>
      </c>
      <c r="AG103" s="413">
        <v>0</v>
      </c>
      <c r="AH103" s="413">
        <v>0</v>
      </c>
      <c r="AI103" s="413">
        <v>178337</v>
      </c>
      <c r="AJ103" s="413">
        <v>8459</v>
      </c>
      <c r="AK103" s="413">
        <v>13967070</v>
      </c>
      <c r="AL103" s="413">
        <v>1698</v>
      </c>
      <c r="AM103" s="413">
        <v>1594</v>
      </c>
      <c r="AN103" s="413">
        <v>2300</v>
      </c>
      <c r="AO103" s="413">
        <v>420</v>
      </c>
      <c r="AP103" s="413">
        <v>583</v>
      </c>
      <c r="AQ103" s="413">
        <v>70960</v>
      </c>
      <c r="AR103" s="413">
        <v>0</v>
      </c>
      <c r="AS103" s="413">
        <v>0</v>
      </c>
      <c r="AT103" s="413">
        <v>0</v>
      </c>
      <c r="AU103" s="413"/>
      <c r="AV103" s="413"/>
      <c r="AW103" s="413"/>
      <c r="AX103" s="413"/>
      <c r="AY103" s="413"/>
      <c r="AZ103" s="413"/>
      <c r="BA103" s="413"/>
      <c r="BB103" s="413"/>
      <c r="BC103" s="413"/>
      <c r="BD103" s="413"/>
      <c r="BE103" s="413"/>
      <c r="BF103" s="413"/>
      <c r="BG103" s="413"/>
      <c r="BH103" s="413"/>
      <c r="BI103" s="413"/>
      <c r="BJ103" s="413"/>
      <c r="BK103" s="413"/>
      <c r="BL103" s="413"/>
      <c r="BM103" s="413"/>
      <c r="BN103" s="413"/>
      <c r="BO103" s="413"/>
      <c r="BP103" s="413"/>
      <c r="BQ103" s="413"/>
      <c r="BR103" s="413"/>
      <c r="BS103" s="413"/>
      <c r="BT103" s="413"/>
      <c r="BU103" s="413"/>
      <c r="BV103" s="413"/>
      <c r="BW103" s="413"/>
      <c r="BX103" s="413"/>
      <c r="BY103" s="413"/>
      <c r="BZ103" s="413"/>
      <c r="CA103" s="413"/>
      <c r="CB103" s="413"/>
    </row>
    <row r="104" spans="1:80" x14ac:dyDescent="0.25">
      <c r="B104" s="412">
        <v>337</v>
      </c>
      <c r="C104" s="302" t="s">
        <v>1486</v>
      </c>
      <c r="D104" s="302">
        <v>0</v>
      </c>
      <c r="E104" s="413">
        <v>0</v>
      </c>
      <c r="F104" s="413">
        <v>0</v>
      </c>
      <c r="G104" s="413">
        <v>0</v>
      </c>
      <c r="H104" s="413">
        <v>0</v>
      </c>
      <c r="I104" s="413">
        <v>0</v>
      </c>
      <c r="J104" s="413">
        <v>0</v>
      </c>
      <c r="K104" s="413">
        <v>0</v>
      </c>
      <c r="L104" s="413">
        <v>0</v>
      </c>
      <c r="M104" s="413">
        <v>0</v>
      </c>
      <c r="N104" s="413">
        <v>0</v>
      </c>
      <c r="O104" s="413">
        <v>0</v>
      </c>
      <c r="P104" s="413">
        <v>0</v>
      </c>
      <c r="Q104" s="413">
        <v>0</v>
      </c>
      <c r="R104" s="413">
        <v>0</v>
      </c>
      <c r="S104" s="413">
        <v>0</v>
      </c>
      <c r="T104" s="413">
        <v>0</v>
      </c>
      <c r="U104" s="413">
        <v>0</v>
      </c>
      <c r="V104" s="413">
        <v>0</v>
      </c>
      <c r="W104" s="413">
        <v>0</v>
      </c>
      <c r="X104" s="413">
        <v>0</v>
      </c>
      <c r="Y104" s="413">
        <v>0</v>
      </c>
      <c r="Z104" s="413">
        <v>0</v>
      </c>
      <c r="AA104" s="413">
        <v>0</v>
      </c>
      <c r="AB104" s="413">
        <v>0</v>
      </c>
      <c r="AC104" s="413">
        <v>0</v>
      </c>
      <c r="AD104" s="413">
        <v>0</v>
      </c>
      <c r="AE104" s="413">
        <v>0</v>
      </c>
      <c r="AF104" s="413">
        <v>0</v>
      </c>
      <c r="AG104" s="413">
        <v>0</v>
      </c>
      <c r="AH104" s="413">
        <v>0</v>
      </c>
      <c r="AI104" s="413">
        <v>0</v>
      </c>
      <c r="AJ104" s="413">
        <v>0</v>
      </c>
      <c r="AK104" s="413">
        <v>0</v>
      </c>
      <c r="AL104" s="413">
        <v>0</v>
      </c>
      <c r="AM104" s="413">
        <v>0</v>
      </c>
      <c r="AN104" s="413">
        <v>0</v>
      </c>
      <c r="AO104" s="413">
        <v>0</v>
      </c>
      <c r="AP104" s="413">
        <v>0</v>
      </c>
      <c r="AQ104" s="413">
        <v>0</v>
      </c>
      <c r="AR104" s="413">
        <v>0</v>
      </c>
      <c r="AS104" s="413">
        <v>0</v>
      </c>
      <c r="AT104" s="413">
        <v>0</v>
      </c>
      <c r="AU104" s="413"/>
      <c r="AV104" s="413"/>
      <c r="AW104" s="413"/>
      <c r="AX104" s="413"/>
      <c r="AY104" s="413"/>
      <c r="AZ104" s="413"/>
      <c r="BA104" s="413"/>
      <c r="BB104" s="413"/>
      <c r="BC104" s="413"/>
      <c r="BD104" s="413"/>
      <c r="BE104" s="413"/>
      <c r="BF104" s="413"/>
      <c r="BG104" s="413"/>
      <c r="BH104" s="413"/>
      <c r="BI104" s="413"/>
      <c r="BJ104" s="413"/>
      <c r="BK104" s="413"/>
      <c r="BL104" s="413"/>
      <c r="BM104" s="413"/>
      <c r="BN104" s="413"/>
      <c r="BO104" s="413"/>
      <c r="BP104" s="413"/>
      <c r="BQ104" s="413"/>
      <c r="BR104" s="413"/>
      <c r="BS104" s="413"/>
      <c r="BT104" s="413"/>
      <c r="BU104" s="413"/>
      <c r="BV104" s="413"/>
      <c r="BW104" s="413"/>
      <c r="BX104" s="413"/>
      <c r="BY104" s="413"/>
      <c r="BZ104" s="413"/>
      <c r="CA104" s="413"/>
      <c r="CB104" s="413"/>
    </row>
    <row r="105" spans="1:80" x14ac:dyDescent="0.25">
      <c r="A105" s="302">
        <v>338</v>
      </c>
      <c r="B105" s="412">
        <v>338</v>
      </c>
      <c r="C105" s="302" t="s">
        <v>116</v>
      </c>
      <c r="D105" s="302">
        <v>0</v>
      </c>
      <c r="E105" s="413">
        <v>0</v>
      </c>
      <c r="F105" s="413">
        <v>1121897</v>
      </c>
      <c r="G105" s="413">
        <v>0</v>
      </c>
      <c r="H105" s="413">
        <v>0</v>
      </c>
      <c r="I105" s="413">
        <v>6835</v>
      </c>
      <c r="J105" s="413">
        <v>2521921</v>
      </c>
      <c r="K105" s="413">
        <v>0</v>
      </c>
      <c r="L105" s="413">
        <v>0</v>
      </c>
      <c r="M105" s="413">
        <v>0</v>
      </c>
      <c r="N105" s="413">
        <v>0</v>
      </c>
      <c r="O105" s="413">
        <v>0</v>
      </c>
      <c r="P105" s="413">
        <v>0</v>
      </c>
      <c r="Q105" s="413">
        <v>0</v>
      </c>
      <c r="R105" s="413">
        <v>0</v>
      </c>
      <c r="S105" s="413">
        <v>0</v>
      </c>
      <c r="T105" s="413">
        <v>15777</v>
      </c>
      <c r="U105" s="413">
        <v>401182</v>
      </c>
      <c r="V105" s="413">
        <v>0</v>
      </c>
      <c r="W105" s="413">
        <v>24228</v>
      </c>
      <c r="X105" s="413">
        <v>0</v>
      </c>
      <c r="Y105" s="413">
        <v>140494</v>
      </c>
      <c r="Z105" s="413">
        <v>3401</v>
      </c>
      <c r="AA105" s="413">
        <v>0</v>
      </c>
      <c r="AB105" s="413">
        <v>0</v>
      </c>
      <c r="AC105" s="413">
        <v>3539</v>
      </c>
      <c r="AD105" s="413">
        <v>81765</v>
      </c>
      <c r="AE105" s="413">
        <v>94287767</v>
      </c>
      <c r="AF105" s="413">
        <v>0</v>
      </c>
      <c r="AG105" s="413">
        <v>0</v>
      </c>
      <c r="AH105" s="413">
        <v>0</v>
      </c>
      <c r="AI105" s="413">
        <v>264511</v>
      </c>
      <c r="AJ105" s="413">
        <v>20878</v>
      </c>
      <c r="AK105" s="413">
        <v>15856792</v>
      </c>
      <c r="AL105" s="413">
        <v>1698</v>
      </c>
      <c r="AM105" s="413">
        <v>3062</v>
      </c>
      <c r="AN105" s="413">
        <v>2900</v>
      </c>
      <c r="AO105" s="413">
        <v>420</v>
      </c>
      <c r="AP105" s="413">
        <v>583</v>
      </c>
      <c r="AQ105" s="413">
        <v>574472</v>
      </c>
      <c r="AR105" s="413">
        <v>0</v>
      </c>
      <c r="AS105" s="413">
        <v>0</v>
      </c>
      <c r="AT105" s="413">
        <v>0</v>
      </c>
      <c r="AU105" s="413"/>
      <c r="AV105" s="413"/>
      <c r="AW105" s="413"/>
      <c r="AX105" s="413"/>
      <c r="AY105" s="413"/>
      <c r="AZ105" s="413"/>
      <c r="BA105" s="413"/>
      <c r="BB105" s="413"/>
      <c r="BC105" s="413"/>
      <c r="BD105" s="413"/>
      <c r="BE105" s="413"/>
      <c r="BF105" s="413"/>
      <c r="BG105" s="413"/>
      <c r="BH105" s="413"/>
      <c r="BI105" s="413"/>
      <c r="BJ105" s="413"/>
      <c r="BK105" s="413"/>
      <c r="BL105" s="413"/>
      <c r="BM105" s="413"/>
      <c r="BN105" s="413"/>
      <c r="BO105" s="413"/>
      <c r="BP105" s="413"/>
      <c r="BQ105" s="413"/>
      <c r="BR105" s="413"/>
      <c r="BS105" s="413"/>
      <c r="BT105" s="413"/>
      <c r="BU105" s="413"/>
      <c r="BV105" s="413"/>
      <c r="BW105" s="413"/>
      <c r="BX105" s="413"/>
      <c r="BY105" s="413"/>
      <c r="BZ105" s="413"/>
      <c r="CA105" s="413"/>
      <c r="CB105" s="413"/>
    </row>
    <row r="106" spans="1:80" x14ac:dyDescent="0.25">
      <c r="A106" s="302">
        <v>339</v>
      </c>
      <c r="B106" s="412">
        <v>339</v>
      </c>
      <c r="C106" s="302" t="s">
        <v>190</v>
      </c>
      <c r="D106" s="302">
        <v>0</v>
      </c>
      <c r="E106" s="413">
        <v>0</v>
      </c>
      <c r="F106" s="413">
        <v>7438227</v>
      </c>
      <c r="G106" s="413">
        <v>0</v>
      </c>
      <c r="H106" s="413">
        <v>0</v>
      </c>
      <c r="I106" s="413">
        <v>275</v>
      </c>
      <c r="J106" s="413">
        <v>0</v>
      </c>
      <c r="K106" s="413">
        <v>0</v>
      </c>
      <c r="L106" s="413">
        <v>0</v>
      </c>
      <c r="M106" s="413">
        <v>0</v>
      </c>
      <c r="N106" s="413">
        <v>0</v>
      </c>
      <c r="O106" s="413">
        <v>0</v>
      </c>
      <c r="P106" s="413">
        <v>0</v>
      </c>
      <c r="Q106" s="413">
        <v>0</v>
      </c>
      <c r="R106" s="413">
        <v>0</v>
      </c>
      <c r="S106" s="413">
        <v>0</v>
      </c>
      <c r="T106" s="413">
        <v>0</v>
      </c>
      <c r="U106" s="413">
        <v>0</v>
      </c>
      <c r="V106" s="413">
        <v>0</v>
      </c>
      <c r="W106" s="413">
        <v>0</v>
      </c>
      <c r="X106" s="413">
        <v>0</v>
      </c>
      <c r="Y106" s="413">
        <v>0</v>
      </c>
      <c r="Z106" s="413">
        <v>4950</v>
      </c>
      <c r="AA106" s="413">
        <v>0</v>
      </c>
      <c r="AB106" s="413">
        <v>0</v>
      </c>
      <c r="AC106" s="413">
        <v>0</v>
      </c>
      <c r="AD106" s="413">
        <v>366967</v>
      </c>
      <c r="AE106" s="413">
        <v>48107256</v>
      </c>
      <c r="AF106" s="413">
        <v>0</v>
      </c>
      <c r="AG106" s="413">
        <v>0</v>
      </c>
      <c r="AH106" s="413">
        <v>0</v>
      </c>
      <c r="AI106" s="413">
        <v>445414</v>
      </c>
      <c r="AJ106" s="413">
        <v>278672</v>
      </c>
      <c r="AK106" s="413">
        <v>896576</v>
      </c>
      <c r="AL106" s="413">
        <v>0</v>
      </c>
      <c r="AM106" s="413">
        <v>0</v>
      </c>
      <c r="AN106" s="413">
        <v>57229</v>
      </c>
      <c r="AO106" s="413">
        <v>50</v>
      </c>
      <c r="AP106" s="413">
        <v>0</v>
      </c>
      <c r="AQ106" s="413">
        <v>2253566</v>
      </c>
      <c r="AR106" s="413">
        <v>0</v>
      </c>
      <c r="AS106" s="413">
        <v>0</v>
      </c>
      <c r="AT106" s="413">
        <v>0</v>
      </c>
      <c r="AU106" s="413"/>
      <c r="AV106" s="413"/>
      <c r="AW106" s="413"/>
      <c r="AX106" s="413"/>
      <c r="AY106" s="413"/>
      <c r="AZ106" s="413"/>
      <c r="BA106" s="413"/>
      <c r="BB106" s="413"/>
      <c r="BC106" s="413"/>
      <c r="BD106" s="413"/>
      <c r="BE106" s="413"/>
      <c r="BF106" s="413"/>
      <c r="BG106" s="413"/>
      <c r="BH106" s="413"/>
      <c r="BI106" s="413"/>
      <c r="BJ106" s="413"/>
      <c r="BK106" s="413"/>
      <c r="BL106" s="413"/>
      <c r="BM106" s="413"/>
      <c r="BN106" s="413"/>
      <c r="BO106" s="413"/>
      <c r="BP106" s="413"/>
      <c r="BQ106" s="413"/>
      <c r="BR106" s="413"/>
      <c r="BS106" s="413"/>
      <c r="BT106" s="413"/>
      <c r="BU106" s="413"/>
      <c r="BV106" s="413"/>
      <c r="BW106" s="413"/>
      <c r="BX106" s="413"/>
      <c r="BY106" s="413"/>
      <c r="BZ106" s="413"/>
      <c r="CA106" s="413"/>
      <c r="CB106" s="413"/>
    </row>
    <row r="107" spans="1:80" x14ac:dyDescent="0.25">
      <c r="B107" s="412">
        <v>340</v>
      </c>
      <c r="C107" s="302" t="s">
        <v>1487</v>
      </c>
      <c r="D107" s="302">
        <v>0</v>
      </c>
      <c r="E107" s="413">
        <v>0</v>
      </c>
      <c r="F107" s="413">
        <v>0</v>
      </c>
      <c r="G107" s="413">
        <v>0</v>
      </c>
      <c r="H107" s="413">
        <v>0</v>
      </c>
      <c r="I107" s="413">
        <v>0</v>
      </c>
      <c r="J107" s="413">
        <v>0</v>
      </c>
      <c r="K107" s="413">
        <v>0</v>
      </c>
      <c r="L107" s="413">
        <v>0</v>
      </c>
      <c r="M107" s="413">
        <v>0</v>
      </c>
      <c r="N107" s="413">
        <v>0</v>
      </c>
      <c r="O107" s="413">
        <v>0</v>
      </c>
      <c r="P107" s="413">
        <v>0</v>
      </c>
      <c r="Q107" s="413">
        <v>0</v>
      </c>
      <c r="R107" s="413">
        <v>0</v>
      </c>
      <c r="S107" s="413">
        <v>0</v>
      </c>
      <c r="T107" s="413">
        <v>0</v>
      </c>
      <c r="U107" s="413">
        <v>0</v>
      </c>
      <c r="V107" s="413">
        <v>0</v>
      </c>
      <c r="W107" s="413">
        <v>0</v>
      </c>
      <c r="X107" s="413">
        <v>0</v>
      </c>
      <c r="Y107" s="413">
        <v>0</v>
      </c>
      <c r="Z107" s="413">
        <v>0</v>
      </c>
      <c r="AA107" s="413">
        <v>0</v>
      </c>
      <c r="AB107" s="413">
        <v>0</v>
      </c>
      <c r="AC107" s="413">
        <v>0</v>
      </c>
      <c r="AD107" s="413">
        <v>0</v>
      </c>
      <c r="AE107" s="413">
        <v>0</v>
      </c>
      <c r="AF107" s="413">
        <v>0</v>
      </c>
      <c r="AG107" s="413">
        <v>0</v>
      </c>
      <c r="AH107" s="413">
        <v>0</v>
      </c>
      <c r="AI107" s="413">
        <v>0</v>
      </c>
      <c r="AJ107" s="413">
        <v>0</v>
      </c>
      <c r="AK107" s="413">
        <v>0</v>
      </c>
      <c r="AL107" s="413">
        <v>0</v>
      </c>
      <c r="AM107" s="413">
        <v>0</v>
      </c>
      <c r="AN107" s="413">
        <v>0</v>
      </c>
      <c r="AO107" s="413">
        <v>0</v>
      </c>
      <c r="AP107" s="413">
        <v>0</v>
      </c>
      <c r="AQ107" s="413">
        <v>0</v>
      </c>
      <c r="AR107" s="413">
        <v>0</v>
      </c>
      <c r="AS107" s="413">
        <v>0</v>
      </c>
      <c r="AT107" s="413">
        <v>0</v>
      </c>
      <c r="AU107" s="413"/>
      <c r="AV107" s="413"/>
      <c r="AW107" s="413"/>
      <c r="AX107" s="413"/>
      <c r="AY107" s="413"/>
      <c r="AZ107" s="413"/>
      <c r="BA107" s="413"/>
      <c r="BB107" s="413"/>
      <c r="BC107" s="413"/>
      <c r="BD107" s="413"/>
      <c r="BE107" s="413"/>
      <c r="BF107" s="413"/>
      <c r="BG107" s="413"/>
      <c r="BH107" s="413"/>
      <c r="BI107" s="413"/>
      <c r="BJ107" s="413"/>
      <c r="BK107" s="413"/>
      <c r="BL107" s="413"/>
      <c r="BM107" s="413"/>
      <c r="BN107" s="413"/>
      <c r="BO107" s="413"/>
      <c r="BP107" s="413"/>
      <c r="BQ107" s="413"/>
      <c r="BR107" s="413"/>
      <c r="BS107" s="413"/>
      <c r="BT107" s="413"/>
      <c r="BU107" s="413"/>
      <c r="BV107" s="413"/>
      <c r="BW107" s="413"/>
      <c r="BX107" s="413"/>
      <c r="BY107" s="413"/>
      <c r="BZ107" s="413"/>
      <c r="CA107" s="413"/>
      <c r="CB107" s="413"/>
    </row>
    <row r="108" spans="1:80" x14ac:dyDescent="0.25">
      <c r="A108" s="302">
        <v>341</v>
      </c>
      <c r="B108" s="412">
        <v>341</v>
      </c>
      <c r="C108" s="302" t="s">
        <v>193</v>
      </c>
      <c r="D108" s="302">
        <v>0</v>
      </c>
      <c r="E108" s="413">
        <v>0</v>
      </c>
      <c r="F108" s="413">
        <v>344868</v>
      </c>
      <c r="G108" s="413">
        <v>0</v>
      </c>
      <c r="H108" s="413">
        <v>0</v>
      </c>
      <c r="I108" s="413">
        <v>345269</v>
      </c>
      <c r="J108" s="413">
        <v>2617611</v>
      </c>
      <c r="K108" s="413">
        <v>0</v>
      </c>
      <c r="L108" s="413">
        <v>0</v>
      </c>
      <c r="M108" s="413">
        <v>0</v>
      </c>
      <c r="N108" s="413">
        <v>0</v>
      </c>
      <c r="O108" s="413">
        <v>0</v>
      </c>
      <c r="P108" s="413">
        <v>0</v>
      </c>
      <c r="Q108" s="413">
        <v>0</v>
      </c>
      <c r="R108" s="413">
        <v>29187</v>
      </c>
      <c r="S108" s="413">
        <v>31</v>
      </c>
      <c r="T108" s="413">
        <v>97803</v>
      </c>
      <c r="U108" s="413">
        <v>2310600</v>
      </c>
      <c r="V108" s="413">
        <v>0</v>
      </c>
      <c r="W108" s="413">
        <v>31</v>
      </c>
      <c r="X108" s="413">
        <v>0</v>
      </c>
      <c r="Y108" s="413">
        <v>19195</v>
      </c>
      <c r="Z108" s="413">
        <v>330539</v>
      </c>
      <c r="AA108" s="413">
        <v>0</v>
      </c>
      <c r="AB108" s="413">
        <v>126250</v>
      </c>
      <c r="AC108" s="413">
        <v>75711</v>
      </c>
      <c r="AD108" s="413">
        <v>335883</v>
      </c>
      <c r="AE108" s="413">
        <v>12707583</v>
      </c>
      <c r="AF108" s="413">
        <v>0</v>
      </c>
      <c r="AG108" s="413">
        <v>17058</v>
      </c>
      <c r="AH108" s="413">
        <v>0</v>
      </c>
      <c r="AI108" s="413">
        <v>4770559</v>
      </c>
      <c r="AJ108" s="413">
        <v>921571</v>
      </c>
      <c r="AK108" s="413">
        <v>168083866</v>
      </c>
      <c r="AL108" s="413">
        <v>211635</v>
      </c>
      <c r="AM108" s="413">
        <v>13343</v>
      </c>
      <c r="AN108" s="413">
        <v>2413</v>
      </c>
      <c r="AO108" s="413">
        <v>7540</v>
      </c>
      <c r="AP108" s="413">
        <v>47468</v>
      </c>
      <c r="AQ108" s="413">
        <v>19349</v>
      </c>
      <c r="AR108" s="413">
        <v>0</v>
      </c>
      <c r="AS108" s="413">
        <v>0</v>
      </c>
      <c r="AT108" s="413">
        <v>96</v>
      </c>
      <c r="AU108" s="413"/>
      <c r="AV108" s="413"/>
      <c r="AW108" s="413"/>
      <c r="AX108" s="413"/>
      <c r="AY108" s="413"/>
      <c r="AZ108" s="413"/>
      <c r="BA108" s="413"/>
      <c r="BB108" s="413"/>
      <c r="BC108" s="413"/>
      <c r="BD108" s="413"/>
      <c r="BE108" s="413"/>
      <c r="BF108" s="413"/>
      <c r="BG108" s="413"/>
      <c r="BH108" s="413"/>
      <c r="BI108" s="413"/>
      <c r="BJ108" s="413"/>
      <c r="BK108" s="413"/>
      <c r="BL108" s="413"/>
      <c r="BM108" s="413"/>
      <c r="BN108" s="413"/>
      <c r="BO108" s="413"/>
      <c r="BP108" s="413"/>
      <c r="BQ108" s="413"/>
      <c r="BR108" s="413"/>
      <c r="BS108" s="413"/>
      <c r="BT108" s="413"/>
      <c r="BU108" s="413"/>
      <c r="BV108" s="413"/>
      <c r="BW108" s="413"/>
      <c r="BX108" s="413"/>
      <c r="BY108" s="413"/>
      <c r="BZ108" s="413"/>
      <c r="CA108" s="413"/>
      <c r="CB108" s="413"/>
    </row>
    <row r="109" spans="1:80" x14ac:dyDescent="0.25">
      <c r="B109" s="412">
        <v>342</v>
      </c>
      <c r="C109" s="302" t="s">
        <v>394</v>
      </c>
      <c r="D109" s="302">
        <v>0</v>
      </c>
      <c r="E109" s="413">
        <v>0</v>
      </c>
      <c r="F109" s="413">
        <v>0</v>
      </c>
      <c r="G109" s="413">
        <v>0</v>
      </c>
      <c r="H109" s="413">
        <v>0</v>
      </c>
      <c r="I109" s="413">
        <v>0</v>
      </c>
      <c r="J109" s="413">
        <v>0</v>
      </c>
      <c r="K109" s="413">
        <v>0</v>
      </c>
      <c r="L109" s="413">
        <v>0</v>
      </c>
      <c r="M109" s="413">
        <v>0</v>
      </c>
      <c r="N109" s="413">
        <v>0</v>
      </c>
      <c r="O109" s="413">
        <v>0</v>
      </c>
      <c r="P109" s="413">
        <v>0</v>
      </c>
      <c r="Q109" s="413">
        <v>0</v>
      </c>
      <c r="R109" s="413">
        <v>0</v>
      </c>
      <c r="S109" s="413">
        <v>0</v>
      </c>
      <c r="T109" s="413">
        <v>0</v>
      </c>
      <c r="U109" s="413">
        <v>0</v>
      </c>
      <c r="V109" s="413">
        <v>0</v>
      </c>
      <c r="W109" s="413">
        <v>0</v>
      </c>
      <c r="X109" s="413">
        <v>0</v>
      </c>
      <c r="Y109" s="413">
        <v>0</v>
      </c>
      <c r="Z109" s="413">
        <v>0</v>
      </c>
      <c r="AA109" s="413">
        <v>0</v>
      </c>
      <c r="AB109" s="413">
        <v>0</v>
      </c>
      <c r="AC109" s="413">
        <v>0</v>
      </c>
      <c r="AD109" s="413">
        <v>0</v>
      </c>
      <c r="AE109" s="413">
        <v>0</v>
      </c>
      <c r="AF109" s="413">
        <v>0</v>
      </c>
      <c r="AG109" s="413">
        <v>0</v>
      </c>
      <c r="AH109" s="413">
        <v>0</v>
      </c>
      <c r="AI109" s="413">
        <v>0</v>
      </c>
      <c r="AJ109" s="413">
        <v>0</v>
      </c>
      <c r="AK109" s="413">
        <v>0</v>
      </c>
      <c r="AL109" s="413">
        <v>0</v>
      </c>
      <c r="AM109" s="413">
        <v>0</v>
      </c>
      <c r="AN109" s="413">
        <v>0</v>
      </c>
      <c r="AO109" s="413">
        <v>0</v>
      </c>
      <c r="AP109" s="413">
        <v>0</v>
      </c>
      <c r="AQ109" s="413">
        <v>0</v>
      </c>
      <c r="AR109" s="413">
        <v>0</v>
      </c>
      <c r="AS109" s="413">
        <v>0</v>
      </c>
      <c r="AT109" s="413">
        <v>0</v>
      </c>
      <c r="AU109" s="413"/>
      <c r="AV109" s="413"/>
      <c r="AW109" s="413"/>
      <c r="AX109" s="413"/>
      <c r="AY109" s="413"/>
      <c r="AZ109" s="413"/>
      <c r="BA109" s="413"/>
      <c r="BB109" s="413"/>
      <c r="BC109" s="413"/>
      <c r="BD109" s="413"/>
      <c r="BE109" s="413"/>
      <c r="BF109" s="413"/>
      <c r="BG109" s="413"/>
      <c r="BH109" s="413"/>
      <c r="BI109" s="413"/>
      <c r="BJ109" s="413"/>
      <c r="BK109" s="413"/>
      <c r="BL109" s="413"/>
      <c r="BM109" s="413"/>
      <c r="BN109" s="413"/>
      <c r="BO109" s="413"/>
      <c r="BP109" s="413"/>
      <c r="BQ109" s="413"/>
      <c r="BR109" s="413"/>
      <c r="BS109" s="413"/>
      <c r="BT109" s="413"/>
      <c r="BU109" s="413"/>
      <c r="BV109" s="413"/>
      <c r="BW109" s="413"/>
      <c r="BX109" s="413"/>
      <c r="BY109" s="413"/>
      <c r="BZ109" s="413"/>
      <c r="CA109" s="413"/>
      <c r="CB109" s="413"/>
    </row>
    <row r="110" spans="1:80" x14ac:dyDescent="0.25">
      <c r="B110" s="412">
        <v>343</v>
      </c>
      <c r="C110" s="302" t="s">
        <v>1488</v>
      </c>
      <c r="D110" s="302">
        <v>0</v>
      </c>
      <c r="E110" s="413">
        <v>0</v>
      </c>
      <c r="F110" s="413">
        <v>0</v>
      </c>
      <c r="G110" s="413">
        <v>0</v>
      </c>
      <c r="H110" s="413">
        <v>0</v>
      </c>
      <c r="I110" s="413">
        <v>0</v>
      </c>
      <c r="J110" s="413">
        <v>0</v>
      </c>
      <c r="K110" s="413">
        <v>0</v>
      </c>
      <c r="L110" s="413">
        <v>0</v>
      </c>
      <c r="M110" s="413">
        <v>0</v>
      </c>
      <c r="N110" s="413">
        <v>0</v>
      </c>
      <c r="O110" s="413">
        <v>0</v>
      </c>
      <c r="P110" s="413">
        <v>0</v>
      </c>
      <c r="Q110" s="413">
        <v>0</v>
      </c>
      <c r="R110" s="413">
        <v>0</v>
      </c>
      <c r="S110" s="413">
        <v>0</v>
      </c>
      <c r="T110" s="413">
        <v>0</v>
      </c>
      <c r="U110" s="413">
        <v>0</v>
      </c>
      <c r="V110" s="413">
        <v>0</v>
      </c>
      <c r="W110" s="413">
        <v>0</v>
      </c>
      <c r="X110" s="413">
        <v>0</v>
      </c>
      <c r="Y110" s="413">
        <v>0</v>
      </c>
      <c r="Z110" s="413">
        <v>0</v>
      </c>
      <c r="AA110" s="413">
        <v>0</v>
      </c>
      <c r="AB110" s="413">
        <v>0</v>
      </c>
      <c r="AC110" s="413">
        <v>0</v>
      </c>
      <c r="AD110" s="413">
        <v>0</v>
      </c>
      <c r="AE110" s="413">
        <v>0</v>
      </c>
      <c r="AF110" s="413">
        <v>0</v>
      </c>
      <c r="AG110" s="413">
        <v>0</v>
      </c>
      <c r="AH110" s="413">
        <v>0</v>
      </c>
      <c r="AI110" s="413">
        <v>0</v>
      </c>
      <c r="AJ110" s="413">
        <v>0</v>
      </c>
      <c r="AK110" s="413">
        <v>0</v>
      </c>
      <c r="AL110" s="413">
        <v>0</v>
      </c>
      <c r="AM110" s="413">
        <v>0</v>
      </c>
      <c r="AN110" s="413">
        <v>0</v>
      </c>
      <c r="AO110" s="413">
        <v>0</v>
      </c>
      <c r="AP110" s="413">
        <v>0</v>
      </c>
      <c r="AQ110" s="413">
        <v>0</v>
      </c>
      <c r="AR110" s="413">
        <v>0</v>
      </c>
      <c r="AS110" s="413">
        <v>0</v>
      </c>
      <c r="AT110" s="413">
        <v>0</v>
      </c>
      <c r="AU110" s="413"/>
      <c r="AV110" s="413"/>
      <c r="AW110" s="413"/>
      <c r="AX110" s="413"/>
      <c r="AY110" s="413"/>
      <c r="AZ110" s="413"/>
      <c r="BA110" s="413"/>
      <c r="BB110" s="413"/>
      <c r="BC110" s="413"/>
      <c r="BD110" s="413"/>
      <c r="BE110" s="413"/>
      <c r="BF110" s="413"/>
      <c r="BG110" s="413"/>
      <c r="BH110" s="413"/>
      <c r="BI110" s="413"/>
      <c r="BJ110" s="413"/>
      <c r="BK110" s="413"/>
      <c r="BL110" s="413"/>
      <c r="BM110" s="413"/>
      <c r="BN110" s="413"/>
      <c r="BO110" s="413"/>
      <c r="BP110" s="413"/>
      <c r="BQ110" s="413"/>
      <c r="BR110" s="413"/>
      <c r="BS110" s="413"/>
      <c r="BT110" s="413"/>
      <c r="BU110" s="413"/>
      <c r="BV110" s="413"/>
      <c r="BW110" s="413"/>
      <c r="BX110" s="413"/>
      <c r="BY110" s="413"/>
      <c r="BZ110" s="413"/>
      <c r="CA110" s="413"/>
      <c r="CB110" s="413"/>
    </row>
    <row r="111" spans="1:80" x14ac:dyDescent="0.25">
      <c r="B111" s="412">
        <v>344</v>
      </c>
      <c r="C111" s="302" t="s">
        <v>1489</v>
      </c>
      <c r="D111" s="302">
        <v>0</v>
      </c>
      <c r="E111" s="413">
        <v>0</v>
      </c>
      <c r="F111" s="413">
        <v>0</v>
      </c>
      <c r="G111" s="413">
        <v>0</v>
      </c>
      <c r="H111" s="413">
        <v>0</v>
      </c>
      <c r="I111" s="413">
        <v>0</v>
      </c>
      <c r="J111" s="413">
        <v>0</v>
      </c>
      <c r="K111" s="413">
        <v>0</v>
      </c>
      <c r="L111" s="413">
        <v>0</v>
      </c>
      <c r="M111" s="413">
        <v>0</v>
      </c>
      <c r="N111" s="413">
        <v>0</v>
      </c>
      <c r="O111" s="413">
        <v>0</v>
      </c>
      <c r="P111" s="413">
        <v>0</v>
      </c>
      <c r="Q111" s="413">
        <v>0</v>
      </c>
      <c r="R111" s="413">
        <v>0</v>
      </c>
      <c r="S111" s="413">
        <v>0</v>
      </c>
      <c r="T111" s="413">
        <v>0</v>
      </c>
      <c r="U111" s="413">
        <v>0</v>
      </c>
      <c r="V111" s="413">
        <v>0</v>
      </c>
      <c r="W111" s="413">
        <v>0</v>
      </c>
      <c r="X111" s="413">
        <v>0</v>
      </c>
      <c r="Y111" s="413">
        <v>0</v>
      </c>
      <c r="Z111" s="413">
        <v>0</v>
      </c>
      <c r="AA111" s="413">
        <v>0</v>
      </c>
      <c r="AB111" s="413">
        <v>0</v>
      </c>
      <c r="AC111" s="413">
        <v>0</v>
      </c>
      <c r="AD111" s="413">
        <v>0</v>
      </c>
      <c r="AE111" s="413">
        <v>0</v>
      </c>
      <c r="AF111" s="413">
        <v>0</v>
      </c>
      <c r="AG111" s="413">
        <v>0</v>
      </c>
      <c r="AH111" s="413">
        <v>0</v>
      </c>
      <c r="AI111" s="413">
        <v>0</v>
      </c>
      <c r="AJ111" s="413">
        <v>0</v>
      </c>
      <c r="AK111" s="413">
        <v>0</v>
      </c>
      <c r="AL111" s="413">
        <v>0</v>
      </c>
      <c r="AM111" s="413">
        <v>0</v>
      </c>
      <c r="AN111" s="413">
        <v>0</v>
      </c>
      <c r="AO111" s="413">
        <v>0</v>
      </c>
      <c r="AP111" s="413">
        <v>0</v>
      </c>
      <c r="AQ111" s="413">
        <v>0</v>
      </c>
      <c r="AR111" s="413">
        <v>0</v>
      </c>
      <c r="AS111" s="413">
        <v>0</v>
      </c>
      <c r="AT111" s="413">
        <v>0</v>
      </c>
      <c r="AU111" s="413"/>
      <c r="AV111" s="413"/>
      <c r="AW111" s="413"/>
      <c r="AX111" s="413"/>
      <c r="AY111" s="413"/>
      <c r="AZ111" s="413"/>
      <c r="BA111" s="413"/>
      <c r="BB111" s="413"/>
      <c r="BC111" s="413"/>
      <c r="BD111" s="413"/>
      <c r="BE111" s="413"/>
      <c r="BF111" s="413"/>
      <c r="BG111" s="413"/>
      <c r="BH111" s="413"/>
      <c r="BI111" s="413"/>
      <c r="BJ111" s="413"/>
      <c r="BK111" s="413"/>
      <c r="BL111" s="413"/>
      <c r="BM111" s="413"/>
      <c r="BN111" s="413"/>
      <c r="BO111" s="413"/>
      <c r="BP111" s="413"/>
      <c r="BQ111" s="413"/>
      <c r="BR111" s="413"/>
      <c r="BS111" s="413"/>
      <c r="BT111" s="413"/>
      <c r="BU111" s="413"/>
      <c r="BV111" s="413"/>
      <c r="BW111" s="413"/>
      <c r="BX111" s="413"/>
      <c r="BY111" s="413"/>
      <c r="BZ111" s="413"/>
      <c r="CA111" s="413"/>
      <c r="CB111" s="413"/>
    </row>
    <row r="112" spans="1:80" x14ac:dyDescent="0.25">
      <c r="B112" s="412">
        <v>346</v>
      </c>
      <c r="C112" s="302" t="s">
        <v>395</v>
      </c>
      <c r="D112" s="302">
        <v>0</v>
      </c>
      <c r="E112" s="413">
        <v>0</v>
      </c>
      <c r="F112" s="413">
        <v>0</v>
      </c>
      <c r="G112" s="413">
        <v>0</v>
      </c>
      <c r="H112" s="413">
        <v>0</v>
      </c>
      <c r="I112" s="413">
        <v>0</v>
      </c>
      <c r="J112" s="413">
        <v>0</v>
      </c>
      <c r="K112" s="413">
        <v>0</v>
      </c>
      <c r="L112" s="413">
        <v>0</v>
      </c>
      <c r="M112" s="413">
        <v>0</v>
      </c>
      <c r="N112" s="413">
        <v>0</v>
      </c>
      <c r="O112" s="413">
        <v>0</v>
      </c>
      <c r="P112" s="413">
        <v>0</v>
      </c>
      <c r="Q112" s="413">
        <v>0</v>
      </c>
      <c r="R112" s="413">
        <v>0</v>
      </c>
      <c r="S112" s="413">
        <v>0</v>
      </c>
      <c r="T112" s="413">
        <v>0</v>
      </c>
      <c r="U112" s="413">
        <v>0</v>
      </c>
      <c r="V112" s="413">
        <v>0</v>
      </c>
      <c r="W112" s="413">
        <v>0</v>
      </c>
      <c r="X112" s="413">
        <v>0</v>
      </c>
      <c r="Y112" s="413">
        <v>0</v>
      </c>
      <c r="Z112" s="413">
        <v>0</v>
      </c>
      <c r="AA112" s="413">
        <v>0</v>
      </c>
      <c r="AB112" s="413">
        <v>0</v>
      </c>
      <c r="AC112" s="413">
        <v>0</v>
      </c>
      <c r="AD112" s="413">
        <v>0</v>
      </c>
      <c r="AE112" s="413">
        <v>0</v>
      </c>
      <c r="AF112" s="413">
        <v>0</v>
      </c>
      <c r="AG112" s="413">
        <v>0</v>
      </c>
      <c r="AH112" s="413">
        <v>0</v>
      </c>
      <c r="AI112" s="413">
        <v>0</v>
      </c>
      <c r="AJ112" s="413">
        <v>0</v>
      </c>
      <c r="AK112" s="413">
        <v>0</v>
      </c>
      <c r="AL112" s="413">
        <v>0</v>
      </c>
      <c r="AM112" s="413">
        <v>0</v>
      </c>
      <c r="AN112" s="413">
        <v>0</v>
      </c>
      <c r="AO112" s="413">
        <v>0</v>
      </c>
      <c r="AP112" s="413">
        <v>0</v>
      </c>
      <c r="AQ112" s="413">
        <v>0</v>
      </c>
      <c r="AR112" s="413">
        <v>0</v>
      </c>
      <c r="AS112" s="413">
        <v>0</v>
      </c>
      <c r="AT112" s="413">
        <v>0</v>
      </c>
      <c r="AU112" s="413"/>
      <c r="AV112" s="413"/>
      <c r="AW112" s="413"/>
      <c r="AX112" s="413"/>
      <c r="AY112" s="413"/>
      <c r="AZ112" s="413"/>
      <c r="BA112" s="413"/>
      <c r="BB112" s="413"/>
      <c r="BC112" s="413"/>
      <c r="BD112" s="413"/>
      <c r="BE112" s="413"/>
      <c r="BF112" s="413"/>
      <c r="BG112" s="413"/>
      <c r="BH112" s="413"/>
      <c r="BI112" s="413"/>
      <c r="BJ112" s="413"/>
      <c r="BK112" s="413"/>
      <c r="BL112" s="413"/>
      <c r="BM112" s="413"/>
      <c r="BN112" s="413"/>
      <c r="BO112" s="413"/>
      <c r="BP112" s="413"/>
      <c r="BQ112" s="413"/>
      <c r="BR112" s="413"/>
      <c r="BS112" s="413"/>
      <c r="BT112" s="413"/>
      <c r="BU112" s="413"/>
      <c r="BV112" s="413"/>
      <c r="BW112" s="413"/>
      <c r="BX112" s="413"/>
      <c r="BY112" s="413"/>
      <c r="BZ112" s="413"/>
      <c r="CA112" s="413"/>
      <c r="CB112" s="413"/>
    </row>
    <row r="113" spans="2:80" x14ac:dyDescent="0.25">
      <c r="B113" s="412">
        <v>347</v>
      </c>
      <c r="C113" s="302" t="s">
        <v>1490</v>
      </c>
      <c r="D113" s="302">
        <v>0</v>
      </c>
      <c r="E113" s="413">
        <v>0</v>
      </c>
      <c r="F113" s="413">
        <v>0</v>
      </c>
      <c r="G113" s="413">
        <v>0</v>
      </c>
      <c r="H113" s="413">
        <v>0</v>
      </c>
      <c r="I113" s="413">
        <v>0</v>
      </c>
      <c r="J113" s="413">
        <v>0</v>
      </c>
      <c r="K113" s="413">
        <v>0</v>
      </c>
      <c r="L113" s="413">
        <v>0</v>
      </c>
      <c r="M113" s="413">
        <v>0</v>
      </c>
      <c r="N113" s="413">
        <v>0</v>
      </c>
      <c r="O113" s="413">
        <v>0</v>
      </c>
      <c r="P113" s="413">
        <v>0</v>
      </c>
      <c r="Q113" s="413">
        <v>0</v>
      </c>
      <c r="R113" s="413">
        <v>0</v>
      </c>
      <c r="S113" s="413">
        <v>0</v>
      </c>
      <c r="T113" s="413">
        <v>0</v>
      </c>
      <c r="U113" s="413">
        <v>0</v>
      </c>
      <c r="V113" s="413">
        <v>0</v>
      </c>
      <c r="W113" s="413">
        <v>0</v>
      </c>
      <c r="X113" s="413">
        <v>0</v>
      </c>
      <c r="Y113" s="413">
        <v>0</v>
      </c>
      <c r="Z113" s="413">
        <v>0</v>
      </c>
      <c r="AA113" s="413">
        <v>0</v>
      </c>
      <c r="AB113" s="413">
        <v>0</v>
      </c>
      <c r="AC113" s="413">
        <v>0</v>
      </c>
      <c r="AD113" s="413">
        <v>0</v>
      </c>
      <c r="AE113" s="413">
        <v>0</v>
      </c>
      <c r="AF113" s="413">
        <v>0</v>
      </c>
      <c r="AG113" s="413">
        <v>0</v>
      </c>
      <c r="AH113" s="413">
        <v>0</v>
      </c>
      <c r="AI113" s="413">
        <v>0</v>
      </c>
      <c r="AJ113" s="413">
        <v>0</v>
      </c>
      <c r="AK113" s="413">
        <v>0</v>
      </c>
      <c r="AL113" s="413">
        <v>0</v>
      </c>
      <c r="AM113" s="413">
        <v>0</v>
      </c>
      <c r="AN113" s="413">
        <v>0</v>
      </c>
      <c r="AO113" s="413">
        <v>0</v>
      </c>
      <c r="AP113" s="413">
        <v>0</v>
      </c>
      <c r="AQ113" s="413">
        <v>0</v>
      </c>
      <c r="AR113" s="413">
        <v>0</v>
      </c>
      <c r="AS113" s="413">
        <v>0</v>
      </c>
      <c r="AT113" s="413">
        <v>0</v>
      </c>
      <c r="AU113" s="413"/>
      <c r="AV113" s="413"/>
      <c r="AW113" s="413"/>
      <c r="AX113" s="413"/>
      <c r="AY113" s="413"/>
      <c r="AZ113" s="413"/>
      <c r="BA113" s="413"/>
      <c r="BB113" s="413"/>
      <c r="BC113" s="413"/>
      <c r="BD113" s="413"/>
      <c r="BE113" s="413"/>
      <c r="BF113" s="413"/>
      <c r="BG113" s="413"/>
      <c r="BH113" s="413"/>
      <c r="BI113" s="413"/>
      <c r="BJ113" s="413"/>
      <c r="BK113" s="413"/>
      <c r="BL113" s="413"/>
      <c r="BM113" s="413"/>
      <c r="BN113" s="413"/>
      <c r="BO113" s="413"/>
      <c r="BP113" s="413"/>
      <c r="BQ113" s="413"/>
      <c r="BR113" s="413"/>
      <c r="BS113" s="413"/>
      <c r="BT113" s="413"/>
      <c r="BU113" s="413"/>
      <c r="BV113" s="413"/>
      <c r="BW113" s="413"/>
      <c r="BX113" s="413"/>
      <c r="BY113" s="413"/>
      <c r="BZ113" s="413"/>
      <c r="CA113" s="413"/>
      <c r="CB113" s="413"/>
    </row>
    <row r="114" spans="2:80" x14ac:dyDescent="0.25">
      <c r="B114" s="412">
        <v>349</v>
      </c>
      <c r="C114" s="302" t="s">
        <v>1491</v>
      </c>
      <c r="D114" s="302">
        <v>0</v>
      </c>
      <c r="E114" s="413">
        <v>0</v>
      </c>
      <c r="F114" s="413">
        <v>0</v>
      </c>
      <c r="G114" s="413">
        <v>0</v>
      </c>
      <c r="H114" s="413">
        <v>0</v>
      </c>
      <c r="I114" s="413">
        <v>0</v>
      </c>
      <c r="J114" s="413">
        <v>0</v>
      </c>
      <c r="K114" s="413">
        <v>0</v>
      </c>
      <c r="L114" s="413">
        <v>0</v>
      </c>
      <c r="M114" s="413">
        <v>0</v>
      </c>
      <c r="N114" s="413">
        <v>0</v>
      </c>
      <c r="O114" s="413">
        <v>0</v>
      </c>
      <c r="P114" s="413">
        <v>0</v>
      </c>
      <c r="Q114" s="413">
        <v>0</v>
      </c>
      <c r="R114" s="413">
        <v>0</v>
      </c>
      <c r="S114" s="413">
        <v>0</v>
      </c>
      <c r="T114" s="413">
        <v>0</v>
      </c>
      <c r="U114" s="413">
        <v>0</v>
      </c>
      <c r="V114" s="413">
        <v>0</v>
      </c>
      <c r="W114" s="413">
        <v>0</v>
      </c>
      <c r="X114" s="413">
        <v>0</v>
      </c>
      <c r="Y114" s="413">
        <v>0</v>
      </c>
      <c r="Z114" s="413">
        <v>0</v>
      </c>
      <c r="AA114" s="413">
        <v>0</v>
      </c>
      <c r="AB114" s="413">
        <v>0</v>
      </c>
      <c r="AC114" s="413">
        <v>0</v>
      </c>
      <c r="AD114" s="413">
        <v>0</v>
      </c>
      <c r="AE114" s="413">
        <v>0</v>
      </c>
      <c r="AF114" s="413">
        <v>0</v>
      </c>
      <c r="AG114" s="413">
        <v>0</v>
      </c>
      <c r="AH114" s="413">
        <v>0</v>
      </c>
      <c r="AI114" s="413">
        <v>0</v>
      </c>
      <c r="AJ114" s="413">
        <v>0</v>
      </c>
      <c r="AK114" s="413">
        <v>0</v>
      </c>
      <c r="AL114" s="413">
        <v>0</v>
      </c>
      <c r="AM114" s="413">
        <v>0</v>
      </c>
      <c r="AN114" s="413">
        <v>0</v>
      </c>
      <c r="AO114" s="413">
        <v>0</v>
      </c>
      <c r="AP114" s="413">
        <v>0</v>
      </c>
      <c r="AQ114" s="413">
        <v>0</v>
      </c>
      <c r="AR114" s="413">
        <v>0</v>
      </c>
      <c r="AS114" s="413">
        <v>0</v>
      </c>
      <c r="AT114" s="413">
        <v>0</v>
      </c>
      <c r="AU114" s="413"/>
      <c r="AV114" s="413"/>
      <c r="AW114" s="413"/>
      <c r="AX114" s="413"/>
      <c r="AY114" s="413"/>
      <c r="AZ114" s="413"/>
      <c r="BA114" s="413"/>
      <c r="BB114" s="413"/>
      <c r="BC114" s="413"/>
      <c r="BD114" s="413"/>
      <c r="BE114" s="413"/>
      <c r="BF114" s="413"/>
      <c r="BG114" s="413"/>
      <c r="BH114" s="413"/>
      <c r="BI114" s="413"/>
      <c r="BJ114" s="413"/>
      <c r="BK114" s="413"/>
      <c r="BL114" s="413"/>
      <c r="BM114" s="413"/>
      <c r="BN114" s="413"/>
      <c r="BO114" s="413"/>
      <c r="BP114" s="413"/>
      <c r="BQ114" s="413"/>
      <c r="BR114" s="413"/>
      <c r="BS114" s="413"/>
      <c r="BT114" s="413"/>
      <c r="BU114" s="413"/>
      <c r="BV114" s="413"/>
      <c r="BW114" s="413"/>
      <c r="BX114" s="413"/>
      <c r="BY114" s="413"/>
      <c r="BZ114" s="413"/>
      <c r="CA114" s="413"/>
      <c r="CB114" s="413"/>
    </row>
    <row r="115" spans="2:80" x14ac:dyDescent="0.25">
      <c r="B115" s="412">
        <v>350</v>
      </c>
      <c r="C115" s="302" t="s">
        <v>1492</v>
      </c>
      <c r="D115" s="302">
        <v>0</v>
      </c>
      <c r="E115" s="413">
        <v>0</v>
      </c>
      <c r="F115" s="413">
        <v>0</v>
      </c>
      <c r="G115" s="413">
        <v>0</v>
      </c>
      <c r="H115" s="413">
        <v>0</v>
      </c>
      <c r="I115" s="413">
        <v>0</v>
      </c>
      <c r="J115" s="413">
        <v>0</v>
      </c>
      <c r="K115" s="413">
        <v>0</v>
      </c>
      <c r="L115" s="413">
        <v>0</v>
      </c>
      <c r="M115" s="413">
        <v>0</v>
      </c>
      <c r="N115" s="413">
        <v>0</v>
      </c>
      <c r="O115" s="413">
        <v>0</v>
      </c>
      <c r="P115" s="413">
        <v>0</v>
      </c>
      <c r="Q115" s="413">
        <v>0</v>
      </c>
      <c r="R115" s="413">
        <v>0</v>
      </c>
      <c r="S115" s="413">
        <v>0</v>
      </c>
      <c r="T115" s="413">
        <v>0</v>
      </c>
      <c r="U115" s="413">
        <v>0</v>
      </c>
      <c r="V115" s="413">
        <v>0</v>
      </c>
      <c r="W115" s="413">
        <v>0</v>
      </c>
      <c r="X115" s="413">
        <v>0</v>
      </c>
      <c r="Y115" s="413">
        <v>0</v>
      </c>
      <c r="Z115" s="413">
        <v>0</v>
      </c>
      <c r="AA115" s="413">
        <v>0</v>
      </c>
      <c r="AB115" s="413">
        <v>0</v>
      </c>
      <c r="AC115" s="413">
        <v>0</v>
      </c>
      <c r="AD115" s="413">
        <v>0</v>
      </c>
      <c r="AE115" s="413">
        <v>0</v>
      </c>
      <c r="AF115" s="413">
        <v>0</v>
      </c>
      <c r="AG115" s="413">
        <v>0</v>
      </c>
      <c r="AH115" s="413">
        <v>0</v>
      </c>
      <c r="AI115" s="413">
        <v>0</v>
      </c>
      <c r="AJ115" s="413">
        <v>0</v>
      </c>
      <c r="AK115" s="413">
        <v>0</v>
      </c>
      <c r="AL115" s="413">
        <v>0</v>
      </c>
      <c r="AM115" s="413">
        <v>0</v>
      </c>
      <c r="AN115" s="413">
        <v>0</v>
      </c>
      <c r="AO115" s="413">
        <v>0</v>
      </c>
      <c r="AP115" s="413">
        <v>0</v>
      </c>
      <c r="AQ115" s="413">
        <v>0</v>
      </c>
      <c r="AR115" s="413">
        <v>0</v>
      </c>
      <c r="AS115" s="413">
        <v>0</v>
      </c>
      <c r="AT115" s="413">
        <v>0</v>
      </c>
      <c r="AU115" s="413"/>
      <c r="AV115" s="413"/>
      <c r="AW115" s="413"/>
      <c r="AX115" s="413"/>
      <c r="AY115" s="413"/>
      <c r="AZ115" s="413"/>
      <c r="BA115" s="413"/>
      <c r="BB115" s="413"/>
      <c r="BC115" s="413"/>
      <c r="BD115" s="413"/>
      <c r="BE115" s="413"/>
      <c r="BF115" s="413"/>
      <c r="BG115" s="413"/>
      <c r="BH115" s="413"/>
      <c r="BI115" s="413"/>
      <c r="BJ115" s="413"/>
      <c r="BK115" s="413"/>
      <c r="BL115" s="413"/>
      <c r="BM115" s="413"/>
      <c r="BN115" s="413"/>
      <c r="BO115" s="413"/>
      <c r="BP115" s="413"/>
      <c r="BQ115" s="413"/>
      <c r="BR115" s="413"/>
      <c r="BS115" s="413"/>
      <c r="BT115" s="413"/>
      <c r="BU115" s="413"/>
      <c r="BV115" s="413"/>
      <c r="BW115" s="413"/>
      <c r="BX115" s="413"/>
      <c r="BY115" s="413"/>
      <c r="BZ115" s="413"/>
      <c r="CA115" s="413"/>
      <c r="CB115" s="413"/>
    </row>
    <row r="116" spans="2:80" x14ac:dyDescent="0.25">
      <c r="B116" s="412">
        <v>351</v>
      </c>
      <c r="C116" s="302" t="s">
        <v>1493</v>
      </c>
      <c r="D116" s="302">
        <v>0</v>
      </c>
      <c r="E116" s="413">
        <v>0</v>
      </c>
      <c r="F116" s="413">
        <v>0</v>
      </c>
      <c r="G116" s="413">
        <v>0</v>
      </c>
      <c r="H116" s="413">
        <v>0</v>
      </c>
      <c r="I116" s="413">
        <v>0</v>
      </c>
      <c r="J116" s="413">
        <v>0</v>
      </c>
      <c r="K116" s="413">
        <v>0</v>
      </c>
      <c r="L116" s="413">
        <v>0</v>
      </c>
      <c r="M116" s="413">
        <v>0</v>
      </c>
      <c r="N116" s="413">
        <v>0</v>
      </c>
      <c r="O116" s="413">
        <v>0</v>
      </c>
      <c r="P116" s="413">
        <v>0</v>
      </c>
      <c r="Q116" s="413">
        <v>0</v>
      </c>
      <c r="R116" s="413">
        <v>0</v>
      </c>
      <c r="S116" s="413">
        <v>0</v>
      </c>
      <c r="T116" s="413">
        <v>0</v>
      </c>
      <c r="U116" s="413">
        <v>0</v>
      </c>
      <c r="V116" s="413">
        <v>0</v>
      </c>
      <c r="W116" s="413">
        <v>0</v>
      </c>
      <c r="X116" s="413">
        <v>0</v>
      </c>
      <c r="Y116" s="413">
        <v>0</v>
      </c>
      <c r="Z116" s="413">
        <v>0</v>
      </c>
      <c r="AA116" s="413">
        <v>0</v>
      </c>
      <c r="AB116" s="413">
        <v>0</v>
      </c>
      <c r="AC116" s="413">
        <v>0</v>
      </c>
      <c r="AD116" s="413">
        <v>0</v>
      </c>
      <c r="AE116" s="413">
        <v>0</v>
      </c>
      <c r="AF116" s="413">
        <v>0</v>
      </c>
      <c r="AG116" s="413">
        <v>0</v>
      </c>
      <c r="AH116" s="413">
        <v>0</v>
      </c>
      <c r="AI116" s="413">
        <v>0</v>
      </c>
      <c r="AJ116" s="413">
        <v>0</v>
      </c>
      <c r="AK116" s="413">
        <v>0</v>
      </c>
      <c r="AL116" s="413">
        <v>0</v>
      </c>
      <c r="AM116" s="413">
        <v>0</v>
      </c>
      <c r="AN116" s="413">
        <v>0</v>
      </c>
      <c r="AO116" s="413">
        <v>0</v>
      </c>
      <c r="AP116" s="413">
        <v>0</v>
      </c>
      <c r="AQ116" s="413">
        <v>0</v>
      </c>
      <c r="AR116" s="413">
        <v>0</v>
      </c>
      <c r="AS116" s="413">
        <v>0</v>
      </c>
      <c r="AT116" s="413">
        <v>0</v>
      </c>
      <c r="AU116" s="413"/>
      <c r="AV116" s="413"/>
      <c r="AW116" s="413"/>
      <c r="AX116" s="413"/>
      <c r="AY116" s="413"/>
      <c r="AZ116" s="413"/>
      <c r="BA116" s="413"/>
      <c r="BB116" s="413"/>
      <c r="BC116" s="413"/>
      <c r="BD116" s="413"/>
      <c r="BE116" s="413"/>
      <c r="BF116" s="413"/>
      <c r="BG116" s="413"/>
      <c r="BH116" s="413"/>
      <c r="BI116" s="413"/>
      <c r="BJ116" s="413"/>
      <c r="BK116" s="413"/>
      <c r="BL116" s="413"/>
      <c r="BM116" s="413"/>
      <c r="BN116" s="413"/>
      <c r="BO116" s="413"/>
      <c r="BP116" s="413"/>
      <c r="BQ116" s="413"/>
      <c r="BR116" s="413"/>
      <c r="BS116" s="413"/>
      <c r="BT116" s="413"/>
      <c r="BU116" s="413"/>
      <c r="BV116" s="413"/>
      <c r="BW116" s="413"/>
      <c r="BX116" s="413"/>
      <c r="BY116" s="413"/>
      <c r="BZ116" s="413"/>
      <c r="CA116" s="413"/>
      <c r="CB116" s="413"/>
    </row>
    <row r="117" spans="2:80" x14ac:dyDescent="0.25">
      <c r="B117" s="412">
        <v>352</v>
      </c>
      <c r="C117" s="302" t="s">
        <v>1494</v>
      </c>
      <c r="D117" s="302">
        <v>0</v>
      </c>
      <c r="E117" s="413">
        <v>0</v>
      </c>
      <c r="F117" s="413">
        <v>0</v>
      </c>
      <c r="G117" s="413">
        <v>0</v>
      </c>
      <c r="H117" s="413">
        <v>0</v>
      </c>
      <c r="I117" s="413">
        <v>0</v>
      </c>
      <c r="J117" s="413">
        <v>0</v>
      </c>
      <c r="K117" s="413">
        <v>0</v>
      </c>
      <c r="L117" s="413">
        <v>0</v>
      </c>
      <c r="M117" s="413">
        <v>0</v>
      </c>
      <c r="N117" s="413">
        <v>0</v>
      </c>
      <c r="O117" s="413">
        <v>0</v>
      </c>
      <c r="P117" s="413">
        <v>0</v>
      </c>
      <c r="Q117" s="413">
        <v>0</v>
      </c>
      <c r="R117" s="413">
        <v>0</v>
      </c>
      <c r="S117" s="413">
        <v>0</v>
      </c>
      <c r="T117" s="413">
        <v>0</v>
      </c>
      <c r="U117" s="413">
        <v>0</v>
      </c>
      <c r="V117" s="413">
        <v>0</v>
      </c>
      <c r="W117" s="413">
        <v>0</v>
      </c>
      <c r="X117" s="413">
        <v>0</v>
      </c>
      <c r="Y117" s="413">
        <v>0</v>
      </c>
      <c r="Z117" s="413">
        <v>0</v>
      </c>
      <c r="AA117" s="413">
        <v>0</v>
      </c>
      <c r="AB117" s="413">
        <v>0</v>
      </c>
      <c r="AC117" s="413">
        <v>0</v>
      </c>
      <c r="AD117" s="413">
        <v>0</v>
      </c>
      <c r="AE117" s="413">
        <v>0</v>
      </c>
      <c r="AF117" s="413">
        <v>0</v>
      </c>
      <c r="AG117" s="413">
        <v>0</v>
      </c>
      <c r="AH117" s="413">
        <v>0</v>
      </c>
      <c r="AI117" s="413">
        <v>0</v>
      </c>
      <c r="AJ117" s="413">
        <v>0</v>
      </c>
      <c r="AK117" s="413">
        <v>0</v>
      </c>
      <c r="AL117" s="413">
        <v>0</v>
      </c>
      <c r="AM117" s="413">
        <v>0</v>
      </c>
      <c r="AN117" s="413">
        <v>0</v>
      </c>
      <c r="AO117" s="413">
        <v>0</v>
      </c>
      <c r="AP117" s="413">
        <v>0</v>
      </c>
      <c r="AQ117" s="413">
        <v>0</v>
      </c>
      <c r="AR117" s="413">
        <v>0</v>
      </c>
      <c r="AS117" s="413">
        <v>0</v>
      </c>
      <c r="AT117" s="413">
        <v>0</v>
      </c>
      <c r="AU117" s="413"/>
      <c r="AV117" s="413"/>
      <c r="AW117" s="413"/>
      <c r="AX117" s="413"/>
      <c r="AY117" s="413"/>
      <c r="AZ117" s="413"/>
      <c r="BA117" s="413"/>
      <c r="BB117" s="413"/>
      <c r="BC117" s="413"/>
      <c r="BD117" s="413"/>
      <c r="BE117" s="413"/>
      <c r="BF117" s="413"/>
      <c r="BG117" s="413"/>
      <c r="BH117" s="413"/>
      <c r="BI117" s="413"/>
      <c r="BJ117" s="413"/>
      <c r="BK117" s="413"/>
      <c r="BL117" s="413"/>
      <c r="BM117" s="413"/>
      <c r="BN117" s="413"/>
      <c r="BO117" s="413"/>
      <c r="BP117" s="413"/>
      <c r="BQ117" s="413"/>
      <c r="BR117" s="413"/>
      <c r="BS117" s="413"/>
      <c r="BT117" s="413"/>
      <c r="BU117" s="413"/>
      <c r="BV117" s="413"/>
      <c r="BW117" s="413"/>
      <c r="BX117" s="413"/>
      <c r="BY117" s="413"/>
      <c r="BZ117" s="413"/>
      <c r="CA117" s="413"/>
      <c r="CB117" s="413"/>
    </row>
    <row r="118" spans="2:80" x14ac:dyDescent="0.25">
      <c r="B118" s="412">
        <v>353</v>
      </c>
      <c r="C118" s="302" t="s">
        <v>1495</v>
      </c>
      <c r="D118" s="302">
        <v>0</v>
      </c>
      <c r="E118" s="413">
        <v>0</v>
      </c>
      <c r="F118" s="413">
        <v>0</v>
      </c>
      <c r="G118" s="413">
        <v>0</v>
      </c>
      <c r="H118" s="413">
        <v>0</v>
      </c>
      <c r="I118" s="413">
        <v>0</v>
      </c>
      <c r="J118" s="413">
        <v>0</v>
      </c>
      <c r="K118" s="413">
        <v>0</v>
      </c>
      <c r="L118" s="413">
        <v>0</v>
      </c>
      <c r="M118" s="413">
        <v>0</v>
      </c>
      <c r="N118" s="413">
        <v>0</v>
      </c>
      <c r="O118" s="413">
        <v>0</v>
      </c>
      <c r="P118" s="413">
        <v>0</v>
      </c>
      <c r="Q118" s="413">
        <v>0</v>
      </c>
      <c r="R118" s="413">
        <v>0</v>
      </c>
      <c r="S118" s="413">
        <v>0</v>
      </c>
      <c r="T118" s="413">
        <v>0</v>
      </c>
      <c r="U118" s="413">
        <v>0</v>
      </c>
      <c r="V118" s="413">
        <v>0</v>
      </c>
      <c r="W118" s="413">
        <v>0</v>
      </c>
      <c r="X118" s="413">
        <v>0</v>
      </c>
      <c r="Y118" s="413">
        <v>0</v>
      </c>
      <c r="Z118" s="413">
        <v>0</v>
      </c>
      <c r="AA118" s="413">
        <v>0</v>
      </c>
      <c r="AB118" s="413">
        <v>0</v>
      </c>
      <c r="AC118" s="413">
        <v>0</v>
      </c>
      <c r="AD118" s="413">
        <v>0</v>
      </c>
      <c r="AE118" s="413">
        <v>0</v>
      </c>
      <c r="AF118" s="413">
        <v>0</v>
      </c>
      <c r="AG118" s="413">
        <v>0</v>
      </c>
      <c r="AH118" s="413">
        <v>0</v>
      </c>
      <c r="AI118" s="413">
        <v>0</v>
      </c>
      <c r="AJ118" s="413">
        <v>0</v>
      </c>
      <c r="AK118" s="413">
        <v>0</v>
      </c>
      <c r="AL118" s="413">
        <v>0</v>
      </c>
      <c r="AM118" s="413">
        <v>0</v>
      </c>
      <c r="AN118" s="413">
        <v>0</v>
      </c>
      <c r="AO118" s="413">
        <v>0</v>
      </c>
      <c r="AP118" s="413">
        <v>0</v>
      </c>
      <c r="AQ118" s="413">
        <v>0</v>
      </c>
      <c r="AR118" s="413">
        <v>0</v>
      </c>
      <c r="AS118" s="413">
        <v>0</v>
      </c>
      <c r="AT118" s="413">
        <v>0</v>
      </c>
      <c r="AU118" s="413"/>
      <c r="AV118" s="413"/>
      <c r="AW118" s="413"/>
      <c r="AX118" s="413"/>
      <c r="AY118" s="413"/>
      <c r="AZ118" s="413"/>
      <c r="BA118" s="413"/>
      <c r="BB118" s="413"/>
      <c r="BC118" s="413"/>
      <c r="BD118" s="413"/>
      <c r="BE118" s="413"/>
      <c r="BF118" s="413"/>
      <c r="BG118" s="413"/>
      <c r="BH118" s="413"/>
      <c r="BI118" s="413"/>
      <c r="BJ118" s="413"/>
      <c r="BK118" s="413"/>
      <c r="BL118" s="413"/>
      <c r="BM118" s="413"/>
      <c r="BN118" s="413"/>
      <c r="BO118" s="413"/>
      <c r="BP118" s="413"/>
      <c r="BQ118" s="413"/>
      <c r="BR118" s="413"/>
      <c r="BS118" s="413"/>
      <c r="BT118" s="413"/>
      <c r="BU118" s="413"/>
      <c r="BV118" s="413"/>
      <c r="BW118" s="413"/>
      <c r="BX118" s="413"/>
      <c r="BY118" s="413"/>
      <c r="BZ118" s="413"/>
      <c r="CA118" s="413"/>
      <c r="CB118" s="413"/>
    </row>
    <row r="119" spans="2:80" x14ac:dyDescent="0.25">
      <c r="B119" s="412">
        <v>356</v>
      </c>
      <c r="C119" s="302" t="s">
        <v>1496</v>
      </c>
      <c r="D119" s="302">
        <v>0</v>
      </c>
      <c r="E119" s="413">
        <v>0</v>
      </c>
      <c r="F119" s="413">
        <v>0</v>
      </c>
      <c r="G119" s="413">
        <v>0</v>
      </c>
      <c r="H119" s="413">
        <v>0</v>
      </c>
      <c r="I119" s="413">
        <v>0</v>
      </c>
      <c r="J119" s="413">
        <v>0</v>
      </c>
      <c r="K119" s="413">
        <v>0</v>
      </c>
      <c r="L119" s="413">
        <v>0</v>
      </c>
      <c r="M119" s="413">
        <v>0</v>
      </c>
      <c r="N119" s="413">
        <v>0</v>
      </c>
      <c r="O119" s="413">
        <v>0</v>
      </c>
      <c r="P119" s="413">
        <v>0</v>
      </c>
      <c r="Q119" s="413">
        <v>0</v>
      </c>
      <c r="R119" s="413">
        <v>0</v>
      </c>
      <c r="S119" s="413">
        <v>0</v>
      </c>
      <c r="T119" s="413">
        <v>0</v>
      </c>
      <c r="U119" s="413">
        <v>0</v>
      </c>
      <c r="V119" s="413">
        <v>0</v>
      </c>
      <c r="W119" s="413">
        <v>0</v>
      </c>
      <c r="X119" s="413">
        <v>0</v>
      </c>
      <c r="Y119" s="413">
        <v>0</v>
      </c>
      <c r="Z119" s="413">
        <v>0</v>
      </c>
      <c r="AA119" s="413">
        <v>0</v>
      </c>
      <c r="AB119" s="413">
        <v>0</v>
      </c>
      <c r="AC119" s="413">
        <v>0</v>
      </c>
      <c r="AD119" s="413">
        <v>0</v>
      </c>
      <c r="AE119" s="413">
        <v>0</v>
      </c>
      <c r="AF119" s="413">
        <v>0</v>
      </c>
      <c r="AG119" s="413">
        <v>0</v>
      </c>
      <c r="AH119" s="413">
        <v>0</v>
      </c>
      <c r="AI119" s="413">
        <v>0</v>
      </c>
      <c r="AJ119" s="413">
        <v>0</v>
      </c>
      <c r="AK119" s="413">
        <v>0</v>
      </c>
      <c r="AL119" s="413">
        <v>0</v>
      </c>
      <c r="AM119" s="413">
        <v>0</v>
      </c>
      <c r="AN119" s="413">
        <v>0</v>
      </c>
      <c r="AO119" s="413">
        <v>0</v>
      </c>
      <c r="AP119" s="413">
        <v>0</v>
      </c>
      <c r="AQ119" s="413">
        <v>0</v>
      </c>
      <c r="AR119" s="413">
        <v>0</v>
      </c>
      <c r="AS119" s="413">
        <v>0</v>
      </c>
      <c r="AT119" s="413">
        <v>0</v>
      </c>
      <c r="AU119" s="413"/>
      <c r="AV119" s="413"/>
      <c r="AW119" s="413"/>
      <c r="AX119" s="413"/>
      <c r="AY119" s="413"/>
      <c r="AZ119" s="413"/>
      <c r="BA119" s="413"/>
      <c r="BB119" s="413"/>
      <c r="BC119" s="413"/>
      <c r="BD119" s="413"/>
      <c r="BE119" s="413"/>
      <c r="BF119" s="413"/>
      <c r="BG119" s="413"/>
      <c r="BH119" s="413"/>
      <c r="BI119" s="413"/>
      <c r="BJ119" s="413"/>
      <c r="BK119" s="413"/>
      <c r="BL119" s="413"/>
      <c r="BM119" s="413"/>
      <c r="BN119" s="413"/>
      <c r="BO119" s="413"/>
      <c r="BP119" s="413"/>
      <c r="BQ119" s="413"/>
      <c r="BR119" s="413"/>
      <c r="BS119" s="413"/>
      <c r="BT119" s="413"/>
      <c r="BU119" s="413"/>
      <c r="BV119" s="413"/>
      <c r="BW119" s="413"/>
      <c r="BX119" s="413"/>
      <c r="BY119" s="413"/>
      <c r="BZ119" s="413"/>
      <c r="CA119" s="413"/>
      <c r="CB119" s="413"/>
    </row>
    <row r="120" spans="2:80" x14ac:dyDescent="0.25">
      <c r="B120" s="412">
        <v>357</v>
      </c>
      <c r="C120" s="302" t="s">
        <v>1497</v>
      </c>
      <c r="D120" s="302">
        <v>0</v>
      </c>
      <c r="E120" s="413">
        <v>0</v>
      </c>
      <c r="F120" s="413">
        <v>0</v>
      </c>
      <c r="G120" s="413">
        <v>0</v>
      </c>
      <c r="H120" s="413">
        <v>0</v>
      </c>
      <c r="I120" s="413">
        <v>0</v>
      </c>
      <c r="J120" s="413">
        <v>0</v>
      </c>
      <c r="K120" s="413">
        <v>0</v>
      </c>
      <c r="L120" s="413">
        <v>0</v>
      </c>
      <c r="M120" s="413">
        <v>0</v>
      </c>
      <c r="N120" s="413">
        <v>0</v>
      </c>
      <c r="O120" s="413">
        <v>0</v>
      </c>
      <c r="P120" s="413">
        <v>0</v>
      </c>
      <c r="Q120" s="413">
        <v>0</v>
      </c>
      <c r="R120" s="413">
        <v>0</v>
      </c>
      <c r="S120" s="413">
        <v>0</v>
      </c>
      <c r="T120" s="413">
        <v>0</v>
      </c>
      <c r="U120" s="413">
        <v>0</v>
      </c>
      <c r="V120" s="413">
        <v>0</v>
      </c>
      <c r="W120" s="413">
        <v>0</v>
      </c>
      <c r="X120" s="413">
        <v>0</v>
      </c>
      <c r="Y120" s="413">
        <v>0</v>
      </c>
      <c r="Z120" s="413">
        <v>0</v>
      </c>
      <c r="AA120" s="413">
        <v>0</v>
      </c>
      <c r="AB120" s="413">
        <v>0</v>
      </c>
      <c r="AC120" s="413">
        <v>0</v>
      </c>
      <c r="AD120" s="413">
        <v>0</v>
      </c>
      <c r="AE120" s="413">
        <v>0</v>
      </c>
      <c r="AF120" s="413">
        <v>0</v>
      </c>
      <c r="AG120" s="413">
        <v>0</v>
      </c>
      <c r="AH120" s="413">
        <v>0</v>
      </c>
      <c r="AI120" s="413">
        <v>0</v>
      </c>
      <c r="AJ120" s="413">
        <v>0</v>
      </c>
      <c r="AK120" s="413">
        <v>0</v>
      </c>
      <c r="AL120" s="413">
        <v>0</v>
      </c>
      <c r="AM120" s="413">
        <v>0</v>
      </c>
      <c r="AN120" s="413">
        <v>0</v>
      </c>
      <c r="AO120" s="413">
        <v>0</v>
      </c>
      <c r="AP120" s="413">
        <v>0</v>
      </c>
      <c r="AQ120" s="413">
        <v>0</v>
      </c>
      <c r="AR120" s="413">
        <v>0</v>
      </c>
      <c r="AS120" s="413">
        <v>0</v>
      </c>
      <c r="AT120" s="413">
        <v>0</v>
      </c>
      <c r="AU120" s="413"/>
      <c r="AV120" s="413"/>
      <c r="AW120" s="413"/>
      <c r="AX120" s="413"/>
      <c r="AY120" s="413"/>
      <c r="AZ120" s="413"/>
      <c r="BA120" s="413"/>
      <c r="BB120" s="413"/>
      <c r="BC120" s="413"/>
      <c r="BD120" s="413"/>
      <c r="BE120" s="413"/>
      <c r="BF120" s="413"/>
      <c r="BG120" s="413"/>
      <c r="BH120" s="413"/>
      <c r="BI120" s="413"/>
      <c r="BJ120" s="413"/>
      <c r="BK120" s="413"/>
      <c r="BL120" s="413"/>
      <c r="BM120" s="413"/>
      <c r="BN120" s="413"/>
      <c r="BO120" s="413"/>
      <c r="BP120" s="413"/>
      <c r="BQ120" s="413"/>
      <c r="BR120" s="413"/>
      <c r="BS120" s="413"/>
      <c r="BT120" s="413"/>
      <c r="BU120" s="413"/>
      <c r="BV120" s="413"/>
      <c r="BW120" s="413"/>
      <c r="BX120" s="413"/>
      <c r="BY120" s="413"/>
      <c r="BZ120" s="413"/>
      <c r="CA120" s="413"/>
      <c r="CB120" s="413"/>
    </row>
    <row r="121" spans="2:80" x14ac:dyDescent="0.25">
      <c r="B121" s="412">
        <v>359</v>
      </c>
      <c r="C121" s="302" t="s">
        <v>1498</v>
      </c>
      <c r="D121" s="302">
        <v>0</v>
      </c>
      <c r="E121" s="413">
        <v>0</v>
      </c>
      <c r="F121" s="413">
        <v>0</v>
      </c>
      <c r="G121" s="413">
        <v>0</v>
      </c>
      <c r="H121" s="413">
        <v>0</v>
      </c>
      <c r="I121" s="413">
        <v>0</v>
      </c>
      <c r="J121" s="413">
        <v>0</v>
      </c>
      <c r="K121" s="413">
        <v>0</v>
      </c>
      <c r="L121" s="413">
        <v>0</v>
      </c>
      <c r="M121" s="413">
        <v>0</v>
      </c>
      <c r="N121" s="413">
        <v>0</v>
      </c>
      <c r="O121" s="413">
        <v>0</v>
      </c>
      <c r="P121" s="413">
        <v>0</v>
      </c>
      <c r="Q121" s="413">
        <v>0</v>
      </c>
      <c r="R121" s="413">
        <v>0</v>
      </c>
      <c r="S121" s="413">
        <v>0</v>
      </c>
      <c r="T121" s="413">
        <v>0</v>
      </c>
      <c r="U121" s="413">
        <v>0</v>
      </c>
      <c r="V121" s="413">
        <v>0</v>
      </c>
      <c r="W121" s="413">
        <v>0</v>
      </c>
      <c r="X121" s="413">
        <v>0</v>
      </c>
      <c r="Y121" s="413">
        <v>0</v>
      </c>
      <c r="Z121" s="413">
        <v>0</v>
      </c>
      <c r="AA121" s="413">
        <v>0</v>
      </c>
      <c r="AB121" s="413">
        <v>0</v>
      </c>
      <c r="AC121" s="413">
        <v>0</v>
      </c>
      <c r="AD121" s="413">
        <v>0</v>
      </c>
      <c r="AE121" s="413">
        <v>0</v>
      </c>
      <c r="AF121" s="413">
        <v>0</v>
      </c>
      <c r="AG121" s="413">
        <v>0</v>
      </c>
      <c r="AH121" s="413">
        <v>0</v>
      </c>
      <c r="AI121" s="413">
        <v>0</v>
      </c>
      <c r="AJ121" s="413">
        <v>0</v>
      </c>
      <c r="AK121" s="413">
        <v>0</v>
      </c>
      <c r="AL121" s="413">
        <v>0</v>
      </c>
      <c r="AM121" s="413">
        <v>0</v>
      </c>
      <c r="AN121" s="413">
        <v>0</v>
      </c>
      <c r="AO121" s="413">
        <v>0</v>
      </c>
      <c r="AP121" s="413">
        <v>0</v>
      </c>
      <c r="AQ121" s="413">
        <v>0</v>
      </c>
      <c r="AR121" s="413">
        <v>0</v>
      </c>
      <c r="AS121" s="413">
        <v>0</v>
      </c>
      <c r="AT121" s="413">
        <v>0</v>
      </c>
      <c r="AU121" s="413"/>
      <c r="AV121" s="413"/>
      <c r="AW121" s="413"/>
      <c r="AX121" s="413"/>
      <c r="AY121" s="413"/>
      <c r="AZ121" s="413"/>
      <c r="BA121" s="413"/>
      <c r="BB121" s="413"/>
      <c r="BC121" s="413"/>
      <c r="BD121" s="413"/>
      <c r="BE121" s="413"/>
      <c r="BF121" s="413"/>
      <c r="BG121" s="413"/>
      <c r="BH121" s="413"/>
      <c r="BI121" s="413"/>
      <c r="BJ121" s="413"/>
      <c r="BK121" s="413"/>
      <c r="BL121" s="413"/>
      <c r="BM121" s="413"/>
      <c r="BN121" s="413"/>
      <c r="BO121" s="413"/>
      <c r="BP121" s="413"/>
      <c r="BQ121" s="413"/>
      <c r="BR121" s="413"/>
      <c r="BS121" s="413"/>
      <c r="BT121" s="413"/>
      <c r="BU121" s="413"/>
      <c r="BV121" s="413"/>
      <c r="BW121" s="413"/>
      <c r="BX121" s="413"/>
      <c r="BY121" s="413"/>
      <c r="BZ121" s="413"/>
      <c r="CA121" s="413"/>
      <c r="CB121" s="413"/>
    </row>
    <row r="122" spans="2:80" x14ac:dyDescent="0.25">
      <c r="B122" s="412">
        <v>360</v>
      </c>
      <c r="C122" s="302" t="s">
        <v>1499</v>
      </c>
      <c r="D122" s="302">
        <v>0</v>
      </c>
      <c r="E122" s="413">
        <v>0</v>
      </c>
      <c r="F122" s="413">
        <v>0</v>
      </c>
      <c r="G122" s="413">
        <v>0</v>
      </c>
      <c r="H122" s="413">
        <v>0</v>
      </c>
      <c r="I122" s="413">
        <v>0</v>
      </c>
      <c r="J122" s="413">
        <v>0</v>
      </c>
      <c r="K122" s="413">
        <v>0</v>
      </c>
      <c r="L122" s="413">
        <v>0</v>
      </c>
      <c r="M122" s="413">
        <v>0</v>
      </c>
      <c r="N122" s="413">
        <v>0</v>
      </c>
      <c r="O122" s="413">
        <v>0</v>
      </c>
      <c r="P122" s="413">
        <v>0</v>
      </c>
      <c r="Q122" s="413">
        <v>0</v>
      </c>
      <c r="R122" s="413">
        <v>0</v>
      </c>
      <c r="S122" s="413">
        <v>0</v>
      </c>
      <c r="T122" s="413">
        <v>0</v>
      </c>
      <c r="U122" s="413">
        <v>0</v>
      </c>
      <c r="V122" s="413">
        <v>0</v>
      </c>
      <c r="W122" s="413">
        <v>0</v>
      </c>
      <c r="X122" s="413">
        <v>0</v>
      </c>
      <c r="Y122" s="413">
        <v>0</v>
      </c>
      <c r="Z122" s="413">
        <v>0</v>
      </c>
      <c r="AA122" s="413">
        <v>0</v>
      </c>
      <c r="AB122" s="413">
        <v>0</v>
      </c>
      <c r="AC122" s="413">
        <v>0</v>
      </c>
      <c r="AD122" s="413">
        <v>0</v>
      </c>
      <c r="AE122" s="413">
        <v>0</v>
      </c>
      <c r="AF122" s="413">
        <v>0</v>
      </c>
      <c r="AG122" s="413">
        <v>0</v>
      </c>
      <c r="AH122" s="413">
        <v>0</v>
      </c>
      <c r="AI122" s="413">
        <v>0</v>
      </c>
      <c r="AJ122" s="413">
        <v>0</v>
      </c>
      <c r="AK122" s="413">
        <v>0</v>
      </c>
      <c r="AL122" s="413">
        <v>0</v>
      </c>
      <c r="AM122" s="413">
        <v>0</v>
      </c>
      <c r="AN122" s="413">
        <v>0</v>
      </c>
      <c r="AO122" s="413">
        <v>0</v>
      </c>
      <c r="AP122" s="413">
        <v>0</v>
      </c>
      <c r="AQ122" s="413">
        <v>0</v>
      </c>
      <c r="AR122" s="413">
        <v>0</v>
      </c>
      <c r="AS122" s="413">
        <v>0</v>
      </c>
      <c r="AT122" s="413">
        <v>0</v>
      </c>
      <c r="AU122" s="413"/>
      <c r="AV122" s="413"/>
      <c r="AW122" s="413"/>
      <c r="AX122" s="413"/>
      <c r="AY122" s="413"/>
      <c r="AZ122" s="413"/>
      <c r="BA122" s="413"/>
      <c r="BB122" s="413"/>
      <c r="BC122" s="413"/>
      <c r="BD122" s="413"/>
      <c r="BE122" s="413"/>
      <c r="BF122" s="413"/>
      <c r="BG122" s="413"/>
      <c r="BH122" s="413"/>
      <c r="BI122" s="413"/>
      <c r="BJ122" s="413"/>
      <c r="BK122" s="413"/>
      <c r="BL122" s="413"/>
      <c r="BM122" s="413"/>
      <c r="BN122" s="413"/>
      <c r="BO122" s="413"/>
      <c r="BP122" s="413"/>
      <c r="BQ122" s="413"/>
      <c r="BR122" s="413"/>
      <c r="BS122" s="413"/>
      <c r="BT122" s="413"/>
      <c r="BU122" s="413"/>
      <c r="BV122" s="413"/>
      <c r="BW122" s="413"/>
      <c r="BX122" s="413"/>
      <c r="BY122" s="413"/>
      <c r="BZ122" s="413"/>
      <c r="CA122" s="413"/>
      <c r="CB122" s="413"/>
    </row>
    <row r="123" spans="2:80" x14ac:dyDescent="0.25">
      <c r="B123" s="412">
        <v>361</v>
      </c>
      <c r="C123" s="302" t="s">
        <v>1500</v>
      </c>
      <c r="D123" s="302">
        <v>0</v>
      </c>
      <c r="E123" s="413">
        <v>0</v>
      </c>
      <c r="F123" s="413">
        <v>0</v>
      </c>
      <c r="G123" s="413">
        <v>0</v>
      </c>
      <c r="H123" s="413">
        <v>0</v>
      </c>
      <c r="I123" s="413">
        <v>0</v>
      </c>
      <c r="J123" s="413">
        <v>0</v>
      </c>
      <c r="K123" s="413">
        <v>0</v>
      </c>
      <c r="L123" s="413">
        <v>0</v>
      </c>
      <c r="M123" s="413">
        <v>0</v>
      </c>
      <c r="N123" s="413">
        <v>0</v>
      </c>
      <c r="O123" s="413">
        <v>0</v>
      </c>
      <c r="P123" s="413">
        <v>0</v>
      </c>
      <c r="Q123" s="413">
        <v>0</v>
      </c>
      <c r="R123" s="413">
        <v>0</v>
      </c>
      <c r="S123" s="413">
        <v>0</v>
      </c>
      <c r="T123" s="413">
        <v>0</v>
      </c>
      <c r="U123" s="413">
        <v>0</v>
      </c>
      <c r="V123" s="413">
        <v>0</v>
      </c>
      <c r="W123" s="413">
        <v>0</v>
      </c>
      <c r="X123" s="413">
        <v>0</v>
      </c>
      <c r="Y123" s="413">
        <v>0</v>
      </c>
      <c r="Z123" s="413">
        <v>0</v>
      </c>
      <c r="AA123" s="413">
        <v>0</v>
      </c>
      <c r="AB123" s="413">
        <v>0</v>
      </c>
      <c r="AC123" s="413">
        <v>0</v>
      </c>
      <c r="AD123" s="413">
        <v>0</v>
      </c>
      <c r="AE123" s="413">
        <v>0</v>
      </c>
      <c r="AF123" s="413">
        <v>0</v>
      </c>
      <c r="AG123" s="413">
        <v>0</v>
      </c>
      <c r="AH123" s="413">
        <v>0</v>
      </c>
      <c r="AI123" s="413">
        <v>0</v>
      </c>
      <c r="AJ123" s="413">
        <v>0</v>
      </c>
      <c r="AK123" s="413">
        <v>0</v>
      </c>
      <c r="AL123" s="413">
        <v>0</v>
      </c>
      <c r="AM123" s="413">
        <v>0</v>
      </c>
      <c r="AN123" s="413">
        <v>0</v>
      </c>
      <c r="AO123" s="413">
        <v>0</v>
      </c>
      <c r="AP123" s="413">
        <v>0</v>
      </c>
      <c r="AQ123" s="413">
        <v>0</v>
      </c>
      <c r="AR123" s="413">
        <v>0</v>
      </c>
      <c r="AS123" s="413">
        <v>0</v>
      </c>
      <c r="AT123" s="413">
        <v>0</v>
      </c>
      <c r="AU123" s="413"/>
      <c r="AV123" s="413"/>
      <c r="AW123" s="413"/>
      <c r="AX123" s="413"/>
      <c r="AY123" s="413"/>
      <c r="AZ123" s="413"/>
      <c r="BA123" s="413"/>
      <c r="BB123" s="413"/>
      <c r="BC123" s="413"/>
      <c r="BD123" s="413"/>
      <c r="BE123" s="413"/>
      <c r="BF123" s="413"/>
      <c r="BG123" s="413"/>
      <c r="BH123" s="413"/>
      <c r="BI123" s="413"/>
      <c r="BJ123" s="413"/>
      <c r="BK123" s="413"/>
      <c r="BL123" s="413"/>
      <c r="BM123" s="413"/>
      <c r="BN123" s="413"/>
      <c r="BO123" s="413"/>
      <c r="BP123" s="413"/>
      <c r="BQ123" s="413"/>
      <c r="BR123" s="413"/>
      <c r="BS123" s="413"/>
      <c r="BT123" s="413"/>
      <c r="BU123" s="413"/>
      <c r="BV123" s="413"/>
      <c r="BW123" s="413"/>
      <c r="BX123" s="413"/>
      <c r="BY123" s="413"/>
      <c r="BZ123" s="413"/>
      <c r="CA123" s="413"/>
      <c r="CB123" s="413"/>
    </row>
    <row r="124" spans="2:80" x14ac:dyDescent="0.25">
      <c r="B124" s="412">
        <v>362</v>
      </c>
      <c r="C124" s="302" t="s">
        <v>1501</v>
      </c>
      <c r="D124" s="302">
        <v>0</v>
      </c>
      <c r="E124" s="413">
        <v>0</v>
      </c>
      <c r="F124" s="413">
        <v>0</v>
      </c>
      <c r="G124" s="413">
        <v>0</v>
      </c>
      <c r="H124" s="413">
        <v>0</v>
      </c>
      <c r="I124" s="413">
        <v>0</v>
      </c>
      <c r="J124" s="413">
        <v>0</v>
      </c>
      <c r="K124" s="413">
        <v>0</v>
      </c>
      <c r="L124" s="413">
        <v>0</v>
      </c>
      <c r="M124" s="413">
        <v>0</v>
      </c>
      <c r="N124" s="413">
        <v>0</v>
      </c>
      <c r="O124" s="413">
        <v>0</v>
      </c>
      <c r="P124" s="413">
        <v>0</v>
      </c>
      <c r="Q124" s="413">
        <v>0</v>
      </c>
      <c r="R124" s="413">
        <v>0</v>
      </c>
      <c r="S124" s="413">
        <v>0</v>
      </c>
      <c r="T124" s="413">
        <v>0</v>
      </c>
      <c r="U124" s="413">
        <v>0</v>
      </c>
      <c r="V124" s="413">
        <v>0</v>
      </c>
      <c r="W124" s="413">
        <v>0</v>
      </c>
      <c r="X124" s="413">
        <v>0</v>
      </c>
      <c r="Y124" s="413">
        <v>0</v>
      </c>
      <c r="Z124" s="413">
        <v>0</v>
      </c>
      <c r="AA124" s="413">
        <v>0</v>
      </c>
      <c r="AB124" s="413">
        <v>0</v>
      </c>
      <c r="AC124" s="413">
        <v>0</v>
      </c>
      <c r="AD124" s="413">
        <v>0</v>
      </c>
      <c r="AE124" s="413">
        <v>0</v>
      </c>
      <c r="AF124" s="413">
        <v>0</v>
      </c>
      <c r="AG124" s="413">
        <v>0</v>
      </c>
      <c r="AH124" s="413">
        <v>0</v>
      </c>
      <c r="AI124" s="413">
        <v>0</v>
      </c>
      <c r="AJ124" s="413">
        <v>0</v>
      </c>
      <c r="AK124" s="413">
        <v>0</v>
      </c>
      <c r="AL124" s="413">
        <v>0</v>
      </c>
      <c r="AM124" s="413">
        <v>0</v>
      </c>
      <c r="AN124" s="413">
        <v>0</v>
      </c>
      <c r="AO124" s="413">
        <v>0</v>
      </c>
      <c r="AP124" s="413">
        <v>0</v>
      </c>
      <c r="AQ124" s="413">
        <v>0</v>
      </c>
      <c r="AR124" s="413">
        <v>0</v>
      </c>
      <c r="AS124" s="413">
        <v>0</v>
      </c>
      <c r="AT124" s="413">
        <v>0</v>
      </c>
      <c r="AU124" s="413"/>
      <c r="AV124" s="413"/>
      <c r="AW124" s="413"/>
      <c r="AX124" s="413"/>
      <c r="AY124" s="413"/>
      <c r="AZ124" s="413"/>
      <c r="BA124" s="413"/>
      <c r="BB124" s="413"/>
      <c r="BC124" s="413"/>
      <c r="BD124" s="413"/>
      <c r="BE124" s="413"/>
      <c r="BF124" s="413"/>
      <c r="BG124" s="413"/>
      <c r="BH124" s="413"/>
      <c r="BI124" s="413"/>
      <c r="BJ124" s="413"/>
      <c r="BK124" s="413"/>
      <c r="BL124" s="413"/>
      <c r="BM124" s="413"/>
      <c r="BN124" s="413"/>
      <c r="BO124" s="413"/>
      <c r="BP124" s="413"/>
      <c r="BQ124" s="413"/>
      <c r="BR124" s="413"/>
      <c r="BS124" s="413"/>
      <c r="BT124" s="413"/>
      <c r="BU124" s="413"/>
      <c r="BV124" s="413"/>
      <c r="BW124" s="413"/>
      <c r="BX124" s="413"/>
      <c r="BY124" s="413"/>
      <c r="BZ124" s="413"/>
      <c r="CA124" s="413"/>
      <c r="CB124" s="413"/>
    </row>
    <row r="125" spans="2:80" x14ac:dyDescent="0.25">
      <c r="B125" s="412">
        <v>363</v>
      </c>
      <c r="C125" s="302" t="s">
        <v>1502</v>
      </c>
      <c r="D125" s="302">
        <v>0</v>
      </c>
      <c r="E125" s="413">
        <v>0</v>
      </c>
      <c r="F125" s="413">
        <v>0</v>
      </c>
      <c r="G125" s="413">
        <v>0</v>
      </c>
      <c r="H125" s="413">
        <v>0</v>
      </c>
      <c r="I125" s="413">
        <v>0</v>
      </c>
      <c r="J125" s="413">
        <v>0</v>
      </c>
      <c r="K125" s="413">
        <v>0</v>
      </c>
      <c r="L125" s="413">
        <v>0</v>
      </c>
      <c r="M125" s="413">
        <v>0</v>
      </c>
      <c r="N125" s="413">
        <v>0</v>
      </c>
      <c r="O125" s="413">
        <v>0</v>
      </c>
      <c r="P125" s="413">
        <v>0</v>
      </c>
      <c r="Q125" s="413">
        <v>0</v>
      </c>
      <c r="R125" s="413">
        <v>0</v>
      </c>
      <c r="S125" s="413">
        <v>0</v>
      </c>
      <c r="T125" s="413">
        <v>0</v>
      </c>
      <c r="U125" s="413">
        <v>0</v>
      </c>
      <c r="V125" s="413">
        <v>0</v>
      </c>
      <c r="W125" s="413">
        <v>0</v>
      </c>
      <c r="X125" s="413">
        <v>0</v>
      </c>
      <c r="Y125" s="413">
        <v>0</v>
      </c>
      <c r="Z125" s="413">
        <v>0</v>
      </c>
      <c r="AA125" s="413">
        <v>0</v>
      </c>
      <c r="AB125" s="413">
        <v>0</v>
      </c>
      <c r="AC125" s="413">
        <v>0</v>
      </c>
      <c r="AD125" s="413">
        <v>0</v>
      </c>
      <c r="AE125" s="413">
        <v>0</v>
      </c>
      <c r="AF125" s="413">
        <v>0</v>
      </c>
      <c r="AG125" s="413">
        <v>0</v>
      </c>
      <c r="AH125" s="413">
        <v>0</v>
      </c>
      <c r="AI125" s="413">
        <v>0</v>
      </c>
      <c r="AJ125" s="413">
        <v>0</v>
      </c>
      <c r="AK125" s="413">
        <v>0</v>
      </c>
      <c r="AL125" s="413">
        <v>0</v>
      </c>
      <c r="AM125" s="413">
        <v>0</v>
      </c>
      <c r="AN125" s="413">
        <v>0</v>
      </c>
      <c r="AO125" s="413">
        <v>0</v>
      </c>
      <c r="AP125" s="413">
        <v>0</v>
      </c>
      <c r="AQ125" s="413">
        <v>0</v>
      </c>
      <c r="AR125" s="413">
        <v>0</v>
      </c>
      <c r="AS125" s="413">
        <v>0</v>
      </c>
      <c r="AT125" s="413">
        <v>0</v>
      </c>
      <c r="AU125" s="413"/>
      <c r="AV125" s="413"/>
      <c r="AW125" s="413"/>
      <c r="AX125" s="413"/>
      <c r="AY125" s="413"/>
      <c r="AZ125" s="413"/>
      <c r="BA125" s="413"/>
      <c r="BB125" s="413"/>
      <c r="BC125" s="413"/>
      <c r="BD125" s="413"/>
      <c r="BE125" s="413"/>
      <c r="BF125" s="413"/>
      <c r="BG125" s="413"/>
      <c r="BH125" s="413"/>
      <c r="BI125" s="413"/>
      <c r="BJ125" s="413"/>
      <c r="BK125" s="413"/>
      <c r="BL125" s="413"/>
      <c r="BM125" s="413"/>
      <c r="BN125" s="413"/>
      <c r="BO125" s="413"/>
      <c r="BP125" s="413"/>
      <c r="BQ125" s="413"/>
      <c r="BR125" s="413"/>
      <c r="BS125" s="413"/>
      <c r="BT125" s="413"/>
      <c r="BU125" s="413"/>
      <c r="BV125" s="413"/>
      <c r="BW125" s="413"/>
      <c r="BX125" s="413"/>
      <c r="BY125" s="413"/>
      <c r="BZ125" s="413"/>
      <c r="CA125" s="413"/>
      <c r="CB125" s="413"/>
    </row>
    <row r="126" spans="2:80" x14ac:dyDescent="0.25">
      <c r="B126" s="412">
        <v>364</v>
      </c>
      <c r="C126" s="302" t="s">
        <v>1503</v>
      </c>
      <c r="D126" s="302">
        <v>0</v>
      </c>
      <c r="E126" s="413">
        <v>0</v>
      </c>
      <c r="F126" s="413">
        <v>0</v>
      </c>
      <c r="G126" s="413">
        <v>0</v>
      </c>
      <c r="H126" s="413">
        <v>0</v>
      </c>
      <c r="I126" s="413">
        <v>0</v>
      </c>
      <c r="J126" s="413">
        <v>0</v>
      </c>
      <c r="K126" s="413">
        <v>0</v>
      </c>
      <c r="L126" s="413">
        <v>0</v>
      </c>
      <c r="M126" s="413">
        <v>0</v>
      </c>
      <c r="N126" s="413">
        <v>0</v>
      </c>
      <c r="O126" s="413">
        <v>0</v>
      </c>
      <c r="P126" s="413">
        <v>0</v>
      </c>
      <c r="Q126" s="413">
        <v>0</v>
      </c>
      <c r="R126" s="413">
        <v>0</v>
      </c>
      <c r="S126" s="413">
        <v>0</v>
      </c>
      <c r="T126" s="413">
        <v>0</v>
      </c>
      <c r="U126" s="413">
        <v>0</v>
      </c>
      <c r="V126" s="413">
        <v>0</v>
      </c>
      <c r="W126" s="413">
        <v>0</v>
      </c>
      <c r="X126" s="413">
        <v>0</v>
      </c>
      <c r="Y126" s="413">
        <v>0</v>
      </c>
      <c r="Z126" s="413">
        <v>0</v>
      </c>
      <c r="AA126" s="413">
        <v>0</v>
      </c>
      <c r="AB126" s="413">
        <v>0</v>
      </c>
      <c r="AC126" s="413">
        <v>0</v>
      </c>
      <c r="AD126" s="413">
        <v>0</v>
      </c>
      <c r="AE126" s="413">
        <v>0</v>
      </c>
      <c r="AF126" s="413">
        <v>0</v>
      </c>
      <c r="AG126" s="413">
        <v>0</v>
      </c>
      <c r="AH126" s="413">
        <v>0</v>
      </c>
      <c r="AI126" s="413">
        <v>0</v>
      </c>
      <c r="AJ126" s="413">
        <v>0</v>
      </c>
      <c r="AK126" s="413">
        <v>0</v>
      </c>
      <c r="AL126" s="413">
        <v>0</v>
      </c>
      <c r="AM126" s="413">
        <v>0</v>
      </c>
      <c r="AN126" s="413">
        <v>0</v>
      </c>
      <c r="AO126" s="413">
        <v>0</v>
      </c>
      <c r="AP126" s="413">
        <v>0</v>
      </c>
      <c r="AQ126" s="413">
        <v>0</v>
      </c>
      <c r="AR126" s="413">
        <v>0</v>
      </c>
      <c r="AS126" s="413">
        <v>0</v>
      </c>
      <c r="AT126" s="413">
        <v>0</v>
      </c>
      <c r="AU126" s="413"/>
      <c r="AV126" s="413"/>
      <c r="AW126" s="413"/>
      <c r="AX126" s="413"/>
      <c r="AY126" s="413"/>
      <c r="AZ126" s="413"/>
      <c r="BA126" s="413"/>
      <c r="BB126" s="413"/>
      <c r="BC126" s="413"/>
      <c r="BD126" s="413"/>
      <c r="BE126" s="413"/>
      <c r="BF126" s="413"/>
      <c r="BG126" s="413"/>
      <c r="BH126" s="413"/>
      <c r="BI126" s="413"/>
      <c r="BJ126" s="413"/>
      <c r="BK126" s="413"/>
      <c r="BL126" s="413"/>
      <c r="BM126" s="413"/>
      <c r="BN126" s="413"/>
      <c r="BO126" s="413"/>
      <c r="BP126" s="413"/>
      <c r="BQ126" s="413"/>
      <c r="BR126" s="413"/>
      <c r="BS126" s="413"/>
      <c r="BT126" s="413"/>
      <c r="BU126" s="413"/>
      <c r="BV126" s="413"/>
      <c r="BW126" s="413"/>
      <c r="BX126" s="413"/>
      <c r="BY126" s="413"/>
      <c r="BZ126" s="413"/>
      <c r="CA126" s="413"/>
      <c r="CB126" s="413"/>
    </row>
    <row r="127" spans="2:80" x14ac:dyDescent="0.25">
      <c r="B127" s="412">
        <v>365</v>
      </c>
      <c r="C127" s="302" t="s">
        <v>1504</v>
      </c>
      <c r="D127" s="302">
        <v>0</v>
      </c>
      <c r="E127" s="413">
        <v>0</v>
      </c>
      <c r="F127" s="413">
        <v>0</v>
      </c>
      <c r="G127" s="413">
        <v>0</v>
      </c>
      <c r="H127" s="413">
        <v>0</v>
      </c>
      <c r="I127" s="413">
        <v>0</v>
      </c>
      <c r="J127" s="413">
        <v>0</v>
      </c>
      <c r="K127" s="413">
        <v>0</v>
      </c>
      <c r="L127" s="413">
        <v>0</v>
      </c>
      <c r="M127" s="413">
        <v>0</v>
      </c>
      <c r="N127" s="413">
        <v>0</v>
      </c>
      <c r="O127" s="413">
        <v>0</v>
      </c>
      <c r="P127" s="413">
        <v>0</v>
      </c>
      <c r="Q127" s="413">
        <v>0</v>
      </c>
      <c r="R127" s="413">
        <v>0</v>
      </c>
      <c r="S127" s="413">
        <v>0</v>
      </c>
      <c r="T127" s="413">
        <v>0</v>
      </c>
      <c r="U127" s="413">
        <v>0</v>
      </c>
      <c r="V127" s="413">
        <v>0</v>
      </c>
      <c r="W127" s="413">
        <v>0</v>
      </c>
      <c r="X127" s="413">
        <v>0</v>
      </c>
      <c r="Y127" s="413">
        <v>0</v>
      </c>
      <c r="Z127" s="413">
        <v>0</v>
      </c>
      <c r="AA127" s="413">
        <v>0</v>
      </c>
      <c r="AB127" s="413">
        <v>0</v>
      </c>
      <c r="AC127" s="413">
        <v>0</v>
      </c>
      <c r="AD127" s="413">
        <v>0</v>
      </c>
      <c r="AE127" s="413">
        <v>0</v>
      </c>
      <c r="AF127" s="413">
        <v>0</v>
      </c>
      <c r="AG127" s="413">
        <v>0</v>
      </c>
      <c r="AH127" s="413">
        <v>0</v>
      </c>
      <c r="AI127" s="413">
        <v>0</v>
      </c>
      <c r="AJ127" s="413">
        <v>0</v>
      </c>
      <c r="AK127" s="413">
        <v>0</v>
      </c>
      <c r="AL127" s="413">
        <v>0</v>
      </c>
      <c r="AM127" s="413">
        <v>0</v>
      </c>
      <c r="AN127" s="413">
        <v>0</v>
      </c>
      <c r="AO127" s="413">
        <v>0</v>
      </c>
      <c r="AP127" s="413">
        <v>0</v>
      </c>
      <c r="AQ127" s="413">
        <v>0</v>
      </c>
      <c r="AR127" s="413">
        <v>0</v>
      </c>
      <c r="AS127" s="413">
        <v>0</v>
      </c>
      <c r="AT127" s="413">
        <v>0</v>
      </c>
      <c r="AU127" s="413"/>
      <c r="AV127" s="413"/>
      <c r="AW127" s="413"/>
      <c r="AX127" s="413"/>
      <c r="AY127" s="413"/>
      <c r="AZ127" s="413"/>
      <c r="BA127" s="413"/>
      <c r="BB127" s="413"/>
      <c r="BC127" s="413"/>
      <c r="BD127" s="413"/>
      <c r="BE127" s="413"/>
      <c r="BF127" s="413"/>
      <c r="BG127" s="413"/>
      <c r="BH127" s="413"/>
      <c r="BI127" s="413"/>
      <c r="BJ127" s="413"/>
      <c r="BK127" s="413"/>
      <c r="BL127" s="413"/>
      <c r="BM127" s="413"/>
      <c r="BN127" s="413"/>
      <c r="BO127" s="413"/>
      <c r="BP127" s="413"/>
      <c r="BQ127" s="413"/>
      <c r="BR127" s="413"/>
      <c r="BS127" s="413"/>
      <c r="BT127" s="413"/>
      <c r="BU127" s="413"/>
      <c r="BV127" s="413"/>
      <c r="BW127" s="413"/>
      <c r="BX127" s="413"/>
      <c r="BY127" s="413"/>
      <c r="BZ127" s="413"/>
      <c r="CA127" s="413"/>
      <c r="CB127" s="413"/>
    </row>
    <row r="128" spans="2:80" x14ac:dyDescent="0.25">
      <c r="B128" s="412">
        <v>366</v>
      </c>
      <c r="C128" s="302" t="s">
        <v>1505</v>
      </c>
      <c r="D128" s="302">
        <v>0</v>
      </c>
      <c r="E128" s="413">
        <v>0</v>
      </c>
      <c r="F128" s="413">
        <v>0</v>
      </c>
      <c r="G128" s="413">
        <v>0</v>
      </c>
      <c r="H128" s="413">
        <v>0</v>
      </c>
      <c r="I128" s="413">
        <v>0</v>
      </c>
      <c r="J128" s="413">
        <v>0</v>
      </c>
      <c r="K128" s="413">
        <v>0</v>
      </c>
      <c r="L128" s="413">
        <v>0</v>
      </c>
      <c r="M128" s="413">
        <v>0</v>
      </c>
      <c r="N128" s="413">
        <v>0</v>
      </c>
      <c r="O128" s="413">
        <v>0</v>
      </c>
      <c r="P128" s="413">
        <v>0</v>
      </c>
      <c r="Q128" s="413">
        <v>0</v>
      </c>
      <c r="R128" s="413">
        <v>0</v>
      </c>
      <c r="S128" s="413">
        <v>0</v>
      </c>
      <c r="T128" s="413">
        <v>0</v>
      </c>
      <c r="U128" s="413">
        <v>0</v>
      </c>
      <c r="V128" s="413">
        <v>0</v>
      </c>
      <c r="W128" s="413">
        <v>0</v>
      </c>
      <c r="X128" s="413">
        <v>0</v>
      </c>
      <c r="Y128" s="413">
        <v>0</v>
      </c>
      <c r="Z128" s="413">
        <v>0</v>
      </c>
      <c r="AA128" s="413">
        <v>0</v>
      </c>
      <c r="AB128" s="413">
        <v>0</v>
      </c>
      <c r="AC128" s="413">
        <v>0</v>
      </c>
      <c r="AD128" s="413">
        <v>0</v>
      </c>
      <c r="AE128" s="413">
        <v>0</v>
      </c>
      <c r="AF128" s="413">
        <v>0</v>
      </c>
      <c r="AG128" s="413">
        <v>0</v>
      </c>
      <c r="AH128" s="413">
        <v>0</v>
      </c>
      <c r="AI128" s="413">
        <v>0</v>
      </c>
      <c r="AJ128" s="413">
        <v>0</v>
      </c>
      <c r="AK128" s="413">
        <v>0</v>
      </c>
      <c r="AL128" s="413">
        <v>0</v>
      </c>
      <c r="AM128" s="413">
        <v>0</v>
      </c>
      <c r="AN128" s="413">
        <v>0</v>
      </c>
      <c r="AO128" s="413">
        <v>0</v>
      </c>
      <c r="AP128" s="413">
        <v>0</v>
      </c>
      <c r="AQ128" s="413">
        <v>0</v>
      </c>
      <c r="AR128" s="413">
        <v>0</v>
      </c>
      <c r="AS128" s="413">
        <v>0</v>
      </c>
      <c r="AT128" s="413">
        <v>0</v>
      </c>
      <c r="AU128" s="413"/>
      <c r="AV128" s="413"/>
      <c r="AW128" s="413"/>
      <c r="AX128" s="413"/>
      <c r="AY128" s="413"/>
      <c r="AZ128" s="413"/>
      <c r="BA128" s="413"/>
      <c r="BB128" s="413"/>
      <c r="BC128" s="413"/>
      <c r="BD128" s="413"/>
      <c r="BE128" s="413"/>
      <c r="BF128" s="413"/>
      <c r="BG128" s="413"/>
      <c r="BH128" s="413"/>
      <c r="BI128" s="413"/>
      <c r="BJ128" s="413"/>
      <c r="BK128" s="413"/>
      <c r="BL128" s="413"/>
      <c r="BM128" s="413"/>
      <c r="BN128" s="413"/>
      <c r="BO128" s="413"/>
      <c r="BP128" s="413"/>
      <c r="BQ128" s="413"/>
      <c r="BR128" s="413"/>
      <c r="BS128" s="413"/>
      <c r="BT128" s="413"/>
      <c r="BU128" s="413"/>
      <c r="BV128" s="413"/>
      <c r="BW128" s="413"/>
      <c r="BX128" s="413"/>
      <c r="BY128" s="413"/>
      <c r="BZ128" s="413"/>
      <c r="CA128" s="413"/>
      <c r="CB128" s="413"/>
    </row>
    <row r="129" spans="1:80" x14ac:dyDescent="0.25">
      <c r="B129" s="412">
        <v>367</v>
      </c>
      <c r="C129" s="302" t="s">
        <v>396</v>
      </c>
      <c r="D129" s="302">
        <v>0</v>
      </c>
      <c r="E129" s="413">
        <v>0</v>
      </c>
      <c r="F129" s="413">
        <v>0</v>
      </c>
      <c r="G129" s="413">
        <v>0</v>
      </c>
      <c r="H129" s="413">
        <v>0</v>
      </c>
      <c r="I129" s="413">
        <v>0</v>
      </c>
      <c r="J129" s="413">
        <v>0</v>
      </c>
      <c r="K129" s="413">
        <v>0</v>
      </c>
      <c r="L129" s="413">
        <v>0</v>
      </c>
      <c r="M129" s="413">
        <v>0</v>
      </c>
      <c r="N129" s="413">
        <v>0</v>
      </c>
      <c r="O129" s="413">
        <v>0</v>
      </c>
      <c r="P129" s="413">
        <v>0</v>
      </c>
      <c r="Q129" s="413">
        <v>0</v>
      </c>
      <c r="R129" s="413">
        <v>0</v>
      </c>
      <c r="S129" s="413">
        <v>0</v>
      </c>
      <c r="T129" s="413">
        <v>0</v>
      </c>
      <c r="U129" s="413">
        <v>0</v>
      </c>
      <c r="V129" s="413">
        <v>0</v>
      </c>
      <c r="W129" s="413">
        <v>0</v>
      </c>
      <c r="X129" s="413">
        <v>0</v>
      </c>
      <c r="Y129" s="413">
        <v>0</v>
      </c>
      <c r="Z129" s="413">
        <v>0</v>
      </c>
      <c r="AA129" s="413">
        <v>0</v>
      </c>
      <c r="AB129" s="413">
        <v>0</v>
      </c>
      <c r="AC129" s="413">
        <v>0</v>
      </c>
      <c r="AD129" s="413">
        <v>0</v>
      </c>
      <c r="AE129" s="413">
        <v>0</v>
      </c>
      <c r="AF129" s="413">
        <v>0</v>
      </c>
      <c r="AG129" s="413">
        <v>0</v>
      </c>
      <c r="AH129" s="413">
        <v>0</v>
      </c>
      <c r="AI129" s="413">
        <v>0</v>
      </c>
      <c r="AJ129" s="413">
        <v>0</v>
      </c>
      <c r="AK129" s="413">
        <v>0</v>
      </c>
      <c r="AL129" s="413">
        <v>0</v>
      </c>
      <c r="AM129" s="413">
        <v>0</v>
      </c>
      <c r="AN129" s="413">
        <v>0</v>
      </c>
      <c r="AO129" s="413">
        <v>0</v>
      </c>
      <c r="AP129" s="413">
        <v>0</v>
      </c>
      <c r="AQ129" s="413">
        <v>0</v>
      </c>
      <c r="AR129" s="413">
        <v>0</v>
      </c>
      <c r="AS129" s="413">
        <v>0</v>
      </c>
      <c r="AT129" s="413">
        <v>0</v>
      </c>
      <c r="AU129" s="413"/>
      <c r="AV129" s="413"/>
      <c r="AW129" s="413"/>
      <c r="AX129" s="413"/>
      <c r="AY129" s="413"/>
      <c r="AZ129" s="413"/>
      <c r="BA129" s="413"/>
      <c r="BB129" s="413"/>
      <c r="BC129" s="413"/>
      <c r="BD129" s="413"/>
      <c r="BE129" s="413"/>
      <c r="BF129" s="413"/>
      <c r="BG129" s="413"/>
      <c r="BH129" s="413"/>
      <c r="BI129" s="413"/>
      <c r="BJ129" s="413"/>
      <c r="BK129" s="413"/>
      <c r="BL129" s="413"/>
      <c r="BM129" s="413"/>
      <c r="BN129" s="413"/>
      <c r="BO129" s="413"/>
      <c r="BP129" s="413"/>
      <c r="BQ129" s="413"/>
      <c r="BR129" s="413"/>
      <c r="BS129" s="413"/>
      <c r="BT129" s="413"/>
      <c r="BU129" s="413"/>
      <c r="BV129" s="413"/>
      <c r="BW129" s="413"/>
      <c r="BX129" s="413"/>
      <c r="BY129" s="413"/>
      <c r="BZ129" s="413"/>
      <c r="CA129" s="413"/>
      <c r="CB129" s="413"/>
    </row>
    <row r="130" spans="1:80" x14ac:dyDescent="0.25">
      <c r="B130" s="412">
        <v>368</v>
      </c>
      <c r="C130" s="302" t="s">
        <v>1506</v>
      </c>
      <c r="D130" s="302">
        <v>0</v>
      </c>
      <c r="E130" s="413">
        <v>0</v>
      </c>
      <c r="F130" s="413">
        <v>0</v>
      </c>
      <c r="G130" s="413">
        <v>0</v>
      </c>
      <c r="H130" s="413">
        <v>0</v>
      </c>
      <c r="I130" s="413">
        <v>0</v>
      </c>
      <c r="J130" s="413">
        <v>0</v>
      </c>
      <c r="K130" s="413">
        <v>0</v>
      </c>
      <c r="L130" s="413">
        <v>0</v>
      </c>
      <c r="M130" s="413">
        <v>0</v>
      </c>
      <c r="N130" s="413">
        <v>0</v>
      </c>
      <c r="O130" s="413">
        <v>0</v>
      </c>
      <c r="P130" s="413">
        <v>0</v>
      </c>
      <c r="Q130" s="413">
        <v>0</v>
      </c>
      <c r="R130" s="413">
        <v>0</v>
      </c>
      <c r="S130" s="413">
        <v>0</v>
      </c>
      <c r="T130" s="413">
        <v>0</v>
      </c>
      <c r="U130" s="413">
        <v>0</v>
      </c>
      <c r="V130" s="413">
        <v>0</v>
      </c>
      <c r="W130" s="413">
        <v>0</v>
      </c>
      <c r="X130" s="413">
        <v>0</v>
      </c>
      <c r="Y130" s="413">
        <v>0</v>
      </c>
      <c r="Z130" s="413">
        <v>0</v>
      </c>
      <c r="AA130" s="413">
        <v>0</v>
      </c>
      <c r="AB130" s="413">
        <v>0</v>
      </c>
      <c r="AC130" s="413">
        <v>0</v>
      </c>
      <c r="AD130" s="413">
        <v>0</v>
      </c>
      <c r="AE130" s="413">
        <v>0</v>
      </c>
      <c r="AF130" s="413">
        <v>0</v>
      </c>
      <c r="AG130" s="413">
        <v>0</v>
      </c>
      <c r="AH130" s="413">
        <v>0</v>
      </c>
      <c r="AI130" s="413">
        <v>0</v>
      </c>
      <c r="AJ130" s="413">
        <v>0</v>
      </c>
      <c r="AK130" s="413">
        <v>0</v>
      </c>
      <c r="AL130" s="413">
        <v>0</v>
      </c>
      <c r="AM130" s="413">
        <v>0</v>
      </c>
      <c r="AN130" s="413">
        <v>0</v>
      </c>
      <c r="AO130" s="413">
        <v>0</v>
      </c>
      <c r="AP130" s="413">
        <v>0</v>
      </c>
      <c r="AQ130" s="413">
        <v>0</v>
      </c>
      <c r="AR130" s="413">
        <v>0</v>
      </c>
      <c r="AS130" s="413">
        <v>0</v>
      </c>
      <c r="AT130" s="413">
        <v>0</v>
      </c>
      <c r="AU130" s="413"/>
      <c r="AV130" s="413"/>
      <c r="AW130" s="413"/>
      <c r="AX130" s="413"/>
      <c r="AY130" s="413"/>
      <c r="AZ130" s="413"/>
      <c r="BA130" s="413"/>
      <c r="BB130" s="413"/>
      <c r="BC130" s="413"/>
      <c r="BD130" s="413"/>
      <c r="BE130" s="413"/>
      <c r="BF130" s="413"/>
      <c r="BG130" s="413"/>
      <c r="BH130" s="413"/>
      <c r="BI130" s="413"/>
      <c r="BJ130" s="413"/>
      <c r="BK130" s="413"/>
      <c r="BL130" s="413"/>
      <c r="BM130" s="413"/>
      <c r="BN130" s="413"/>
      <c r="BO130" s="413"/>
      <c r="BP130" s="413"/>
      <c r="BQ130" s="413"/>
      <c r="BR130" s="413"/>
      <c r="BS130" s="413"/>
      <c r="BT130" s="413"/>
      <c r="BU130" s="413"/>
      <c r="BV130" s="413"/>
      <c r="BW130" s="413"/>
      <c r="BX130" s="413"/>
      <c r="BY130" s="413"/>
      <c r="BZ130" s="413"/>
      <c r="CA130" s="413"/>
      <c r="CB130" s="413"/>
    </row>
    <row r="131" spans="1:80" x14ac:dyDescent="0.25">
      <c r="B131" s="412">
        <v>369</v>
      </c>
      <c r="C131" s="302" t="s">
        <v>1507</v>
      </c>
      <c r="D131" s="302">
        <v>0</v>
      </c>
      <c r="E131" s="413">
        <v>0</v>
      </c>
      <c r="F131" s="413">
        <v>0</v>
      </c>
      <c r="G131" s="413">
        <v>0</v>
      </c>
      <c r="H131" s="413">
        <v>0</v>
      </c>
      <c r="I131" s="413">
        <v>0</v>
      </c>
      <c r="J131" s="413">
        <v>0</v>
      </c>
      <c r="K131" s="413">
        <v>0</v>
      </c>
      <c r="L131" s="413">
        <v>0</v>
      </c>
      <c r="M131" s="413">
        <v>0</v>
      </c>
      <c r="N131" s="413">
        <v>0</v>
      </c>
      <c r="O131" s="413">
        <v>0</v>
      </c>
      <c r="P131" s="413">
        <v>0</v>
      </c>
      <c r="Q131" s="413">
        <v>0</v>
      </c>
      <c r="R131" s="413">
        <v>0</v>
      </c>
      <c r="S131" s="413">
        <v>0</v>
      </c>
      <c r="T131" s="413">
        <v>0</v>
      </c>
      <c r="U131" s="413">
        <v>0</v>
      </c>
      <c r="V131" s="413">
        <v>0</v>
      </c>
      <c r="W131" s="413">
        <v>0</v>
      </c>
      <c r="X131" s="413">
        <v>0</v>
      </c>
      <c r="Y131" s="413">
        <v>0</v>
      </c>
      <c r="Z131" s="413">
        <v>0</v>
      </c>
      <c r="AA131" s="413">
        <v>0</v>
      </c>
      <c r="AB131" s="413">
        <v>0</v>
      </c>
      <c r="AC131" s="413">
        <v>0</v>
      </c>
      <c r="AD131" s="413">
        <v>0</v>
      </c>
      <c r="AE131" s="413">
        <v>0</v>
      </c>
      <c r="AF131" s="413">
        <v>0</v>
      </c>
      <c r="AG131" s="413">
        <v>0</v>
      </c>
      <c r="AH131" s="413">
        <v>0</v>
      </c>
      <c r="AI131" s="413">
        <v>0</v>
      </c>
      <c r="AJ131" s="413">
        <v>0</v>
      </c>
      <c r="AK131" s="413">
        <v>0</v>
      </c>
      <c r="AL131" s="413">
        <v>0</v>
      </c>
      <c r="AM131" s="413">
        <v>0</v>
      </c>
      <c r="AN131" s="413">
        <v>0</v>
      </c>
      <c r="AO131" s="413">
        <v>0</v>
      </c>
      <c r="AP131" s="413">
        <v>0</v>
      </c>
      <c r="AQ131" s="413">
        <v>0</v>
      </c>
      <c r="AR131" s="413">
        <v>0</v>
      </c>
      <c r="AS131" s="413">
        <v>0</v>
      </c>
      <c r="AT131" s="413">
        <v>0</v>
      </c>
      <c r="AU131" s="413"/>
      <c r="AV131" s="413"/>
      <c r="AW131" s="413"/>
      <c r="AX131" s="413"/>
      <c r="AY131" s="413"/>
      <c r="AZ131" s="413"/>
      <c r="BA131" s="413"/>
      <c r="BB131" s="413"/>
      <c r="BC131" s="413"/>
      <c r="BD131" s="413"/>
      <c r="BE131" s="413"/>
      <c r="BF131" s="413"/>
      <c r="BG131" s="413"/>
      <c r="BH131" s="413"/>
      <c r="BI131" s="413"/>
      <c r="BJ131" s="413"/>
      <c r="BK131" s="413"/>
      <c r="BL131" s="413"/>
      <c r="BM131" s="413"/>
      <c r="BN131" s="413"/>
      <c r="BO131" s="413"/>
      <c r="BP131" s="413"/>
      <c r="BQ131" s="413"/>
      <c r="BR131" s="413"/>
      <c r="BS131" s="413"/>
      <c r="BT131" s="413"/>
      <c r="BU131" s="413"/>
      <c r="BV131" s="413"/>
      <c r="BW131" s="413"/>
      <c r="BX131" s="413"/>
      <c r="BY131" s="413"/>
      <c r="BZ131" s="413"/>
      <c r="CA131" s="413"/>
      <c r="CB131" s="413"/>
    </row>
    <row r="132" spans="1:80" x14ac:dyDescent="0.25">
      <c r="B132" s="412">
        <v>370</v>
      </c>
      <c r="C132" s="302" t="s">
        <v>1508</v>
      </c>
      <c r="D132" s="302">
        <v>0</v>
      </c>
      <c r="E132" s="413">
        <v>0</v>
      </c>
      <c r="F132" s="413">
        <v>0</v>
      </c>
      <c r="G132" s="413">
        <v>0</v>
      </c>
      <c r="H132" s="413">
        <v>0</v>
      </c>
      <c r="I132" s="413">
        <v>0</v>
      </c>
      <c r="J132" s="413">
        <v>0</v>
      </c>
      <c r="K132" s="413">
        <v>0</v>
      </c>
      <c r="L132" s="413">
        <v>0</v>
      </c>
      <c r="M132" s="413">
        <v>0</v>
      </c>
      <c r="N132" s="413">
        <v>0</v>
      </c>
      <c r="O132" s="413">
        <v>0</v>
      </c>
      <c r="P132" s="413">
        <v>0</v>
      </c>
      <c r="Q132" s="413">
        <v>0</v>
      </c>
      <c r="R132" s="413">
        <v>0</v>
      </c>
      <c r="S132" s="413">
        <v>0</v>
      </c>
      <c r="T132" s="413">
        <v>0</v>
      </c>
      <c r="U132" s="413">
        <v>0</v>
      </c>
      <c r="V132" s="413">
        <v>0</v>
      </c>
      <c r="W132" s="413">
        <v>0</v>
      </c>
      <c r="X132" s="413">
        <v>0</v>
      </c>
      <c r="Y132" s="413">
        <v>0</v>
      </c>
      <c r="Z132" s="413">
        <v>0</v>
      </c>
      <c r="AA132" s="413">
        <v>0</v>
      </c>
      <c r="AB132" s="413">
        <v>0</v>
      </c>
      <c r="AC132" s="413">
        <v>0</v>
      </c>
      <c r="AD132" s="413">
        <v>0</v>
      </c>
      <c r="AE132" s="413">
        <v>0</v>
      </c>
      <c r="AF132" s="413">
        <v>0</v>
      </c>
      <c r="AG132" s="413">
        <v>0</v>
      </c>
      <c r="AH132" s="413">
        <v>0</v>
      </c>
      <c r="AI132" s="413">
        <v>0</v>
      </c>
      <c r="AJ132" s="413">
        <v>0</v>
      </c>
      <c r="AK132" s="413">
        <v>0</v>
      </c>
      <c r="AL132" s="413">
        <v>0</v>
      </c>
      <c r="AM132" s="413">
        <v>0</v>
      </c>
      <c r="AN132" s="413">
        <v>0</v>
      </c>
      <c r="AO132" s="413">
        <v>0</v>
      </c>
      <c r="AP132" s="413">
        <v>0</v>
      </c>
      <c r="AQ132" s="413">
        <v>0</v>
      </c>
      <c r="AR132" s="413">
        <v>0</v>
      </c>
      <c r="AS132" s="413">
        <v>0</v>
      </c>
      <c r="AT132" s="413">
        <v>0</v>
      </c>
      <c r="AU132" s="413"/>
      <c r="AV132" s="413"/>
      <c r="AW132" s="413"/>
      <c r="AX132" s="413"/>
      <c r="AY132" s="413"/>
      <c r="AZ132" s="413"/>
      <c r="BA132" s="413"/>
      <c r="BB132" s="413"/>
      <c r="BC132" s="413"/>
      <c r="BD132" s="413"/>
      <c r="BE132" s="413"/>
      <c r="BF132" s="413"/>
      <c r="BG132" s="413"/>
      <c r="BH132" s="413"/>
      <c r="BI132" s="413"/>
      <c r="BJ132" s="413"/>
      <c r="BK132" s="413"/>
      <c r="BL132" s="413"/>
      <c r="BM132" s="413"/>
      <c r="BN132" s="413"/>
      <c r="BO132" s="413"/>
      <c r="BP132" s="413"/>
      <c r="BQ132" s="413"/>
      <c r="BR132" s="413"/>
      <c r="BS132" s="413"/>
      <c r="BT132" s="413"/>
      <c r="BU132" s="413"/>
      <c r="BV132" s="413"/>
      <c r="BW132" s="413"/>
      <c r="BX132" s="413"/>
      <c r="BY132" s="413"/>
      <c r="BZ132" s="413"/>
      <c r="CA132" s="413"/>
      <c r="CB132" s="413"/>
    </row>
    <row r="133" spans="1:80" x14ac:dyDescent="0.25">
      <c r="B133" s="412">
        <v>371</v>
      </c>
      <c r="C133" s="302" t="s">
        <v>1509</v>
      </c>
      <c r="D133" s="302">
        <v>0</v>
      </c>
      <c r="E133" s="413">
        <v>0</v>
      </c>
      <c r="F133" s="413">
        <v>0</v>
      </c>
      <c r="G133" s="413">
        <v>0</v>
      </c>
      <c r="H133" s="413">
        <v>0</v>
      </c>
      <c r="I133" s="413">
        <v>0</v>
      </c>
      <c r="J133" s="413">
        <v>0</v>
      </c>
      <c r="K133" s="413">
        <v>0</v>
      </c>
      <c r="L133" s="413">
        <v>0</v>
      </c>
      <c r="M133" s="413">
        <v>0</v>
      </c>
      <c r="N133" s="413">
        <v>0</v>
      </c>
      <c r="O133" s="413">
        <v>0</v>
      </c>
      <c r="P133" s="413">
        <v>0</v>
      </c>
      <c r="Q133" s="413">
        <v>0</v>
      </c>
      <c r="R133" s="413">
        <v>0</v>
      </c>
      <c r="S133" s="413">
        <v>0</v>
      </c>
      <c r="T133" s="413">
        <v>0</v>
      </c>
      <c r="U133" s="413">
        <v>0</v>
      </c>
      <c r="V133" s="413">
        <v>0</v>
      </c>
      <c r="W133" s="413">
        <v>0</v>
      </c>
      <c r="X133" s="413">
        <v>0</v>
      </c>
      <c r="Y133" s="413">
        <v>0</v>
      </c>
      <c r="Z133" s="413">
        <v>0</v>
      </c>
      <c r="AA133" s="413">
        <v>0</v>
      </c>
      <c r="AB133" s="413">
        <v>0</v>
      </c>
      <c r="AC133" s="413">
        <v>0</v>
      </c>
      <c r="AD133" s="413">
        <v>0</v>
      </c>
      <c r="AE133" s="413">
        <v>0</v>
      </c>
      <c r="AF133" s="413">
        <v>0</v>
      </c>
      <c r="AG133" s="413">
        <v>0</v>
      </c>
      <c r="AH133" s="413">
        <v>0</v>
      </c>
      <c r="AI133" s="413">
        <v>0</v>
      </c>
      <c r="AJ133" s="413">
        <v>0</v>
      </c>
      <c r="AK133" s="413">
        <v>0</v>
      </c>
      <c r="AL133" s="413">
        <v>0</v>
      </c>
      <c r="AM133" s="413">
        <v>0</v>
      </c>
      <c r="AN133" s="413">
        <v>0</v>
      </c>
      <c r="AO133" s="413">
        <v>0</v>
      </c>
      <c r="AP133" s="413">
        <v>0</v>
      </c>
      <c r="AQ133" s="413">
        <v>0</v>
      </c>
      <c r="AR133" s="413">
        <v>0</v>
      </c>
      <c r="AS133" s="413">
        <v>0</v>
      </c>
      <c r="AT133" s="413">
        <v>0</v>
      </c>
      <c r="AU133" s="413"/>
      <c r="AV133" s="413"/>
      <c r="AW133" s="413"/>
      <c r="AX133" s="413"/>
      <c r="AY133" s="413"/>
      <c r="AZ133" s="413"/>
      <c r="BA133" s="413"/>
      <c r="BB133" s="413"/>
      <c r="BC133" s="413"/>
      <c r="BD133" s="413"/>
      <c r="BE133" s="413"/>
      <c r="BF133" s="413"/>
      <c r="BG133" s="413"/>
      <c r="BH133" s="413"/>
      <c r="BI133" s="413"/>
      <c r="BJ133" s="413"/>
      <c r="BK133" s="413"/>
      <c r="BL133" s="413"/>
      <c r="BM133" s="413"/>
      <c r="BN133" s="413"/>
      <c r="BO133" s="413"/>
      <c r="BP133" s="413"/>
      <c r="BQ133" s="413"/>
      <c r="BR133" s="413"/>
      <c r="BS133" s="413"/>
      <c r="BT133" s="413"/>
      <c r="BU133" s="413"/>
      <c r="BV133" s="413"/>
      <c r="BW133" s="413"/>
      <c r="BX133" s="413"/>
      <c r="BY133" s="413"/>
      <c r="BZ133" s="413"/>
      <c r="CA133" s="413"/>
      <c r="CB133" s="413"/>
    </row>
    <row r="134" spans="1:80" x14ac:dyDescent="0.25">
      <c r="A134" s="302">
        <v>373</v>
      </c>
      <c r="B134" s="412">
        <v>373</v>
      </c>
      <c r="C134" s="302" t="s">
        <v>343</v>
      </c>
      <c r="D134" s="302">
        <v>0</v>
      </c>
      <c r="E134" s="413">
        <v>0</v>
      </c>
      <c r="F134" s="413">
        <v>17663</v>
      </c>
      <c r="G134" s="413">
        <v>6041990</v>
      </c>
      <c r="H134" s="413">
        <v>0</v>
      </c>
      <c r="I134" s="413">
        <v>761601</v>
      </c>
      <c r="J134" s="413">
        <v>307448</v>
      </c>
      <c r="K134" s="413">
        <v>4944102</v>
      </c>
      <c r="L134" s="413">
        <v>0</v>
      </c>
      <c r="M134" s="413">
        <v>0</v>
      </c>
      <c r="N134" s="413">
        <v>2750725</v>
      </c>
      <c r="O134" s="413">
        <v>0</v>
      </c>
      <c r="P134" s="413">
        <v>0</v>
      </c>
      <c r="Q134" s="413">
        <v>0</v>
      </c>
      <c r="R134" s="413">
        <v>0</v>
      </c>
      <c r="S134" s="413">
        <v>0</v>
      </c>
      <c r="T134" s="413">
        <v>0</v>
      </c>
      <c r="U134" s="413">
        <v>0</v>
      </c>
      <c r="V134" s="413">
        <v>0</v>
      </c>
      <c r="W134" s="413">
        <v>26579</v>
      </c>
      <c r="X134" s="413">
        <v>0</v>
      </c>
      <c r="Y134" s="413">
        <v>0</v>
      </c>
      <c r="Z134" s="413">
        <v>948418</v>
      </c>
      <c r="AA134" s="413">
        <v>0</v>
      </c>
      <c r="AB134" s="413">
        <v>357770</v>
      </c>
      <c r="AC134" s="413">
        <v>0</v>
      </c>
      <c r="AD134" s="413">
        <v>455767</v>
      </c>
      <c r="AE134" s="413">
        <v>21613748</v>
      </c>
      <c r="AF134" s="413">
        <v>0</v>
      </c>
      <c r="AG134" s="413">
        <v>0</v>
      </c>
      <c r="AH134" s="413">
        <v>0</v>
      </c>
      <c r="AI134" s="413">
        <v>15354697</v>
      </c>
      <c r="AJ134" s="413">
        <v>0</v>
      </c>
      <c r="AK134" s="413">
        <v>11515743</v>
      </c>
      <c r="AL134" s="413">
        <v>288376</v>
      </c>
      <c r="AM134" s="413">
        <v>452430</v>
      </c>
      <c r="AN134" s="413">
        <v>5541</v>
      </c>
      <c r="AO134" s="413">
        <v>76730</v>
      </c>
      <c r="AP134" s="413">
        <v>35811</v>
      </c>
      <c r="AQ134" s="413">
        <v>972921</v>
      </c>
      <c r="AR134" s="413">
        <v>0</v>
      </c>
      <c r="AS134" s="413">
        <v>595632</v>
      </c>
      <c r="AT134" s="413">
        <v>0</v>
      </c>
      <c r="AU134" s="413"/>
      <c r="AV134" s="413"/>
      <c r="AW134" s="413"/>
      <c r="AX134" s="413"/>
      <c r="AY134" s="413"/>
      <c r="AZ134" s="413"/>
      <c r="BA134" s="413"/>
      <c r="BB134" s="413"/>
      <c r="BC134" s="413"/>
      <c r="BD134" s="413"/>
      <c r="BE134" s="413"/>
      <c r="BF134" s="413"/>
      <c r="BG134" s="413"/>
      <c r="BH134" s="413"/>
      <c r="BI134" s="413"/>
      <c r="BJ134" s="413"/>
      <c r="BK134" s="413"/>
      <c r="BL134" s="413"/>
      <c r="BM134" s="413"/>
      <c r="BN134" s="413"/>
      <c r="BO134" s="413"/>
      <c r="BP134" s="413"/>
      <c r="BQ134" s="413"/>
      <c r="BR134" s="413"/>
      <c r="BS134" s="413"/>
      <c r="BT134" s="413"/>
      <c r="BU134" s="413"/>
      <c r="BV134" s="413"/>
      <c r="BW134" s="413"/>
      <c r="BX134" s="413"/>
      <c r="BY134" s="413"/>
      <c r="BZ134" s="413"/>
      <c r="CA134" s="413"/>
      <c r="CB134" s="413"/>
    </row>
    <row r="135" spans="1:80" x14ac:dyDescent="0.25">
      <c r="B135" s="412">
        <v>375</v>
      </c>
      <c r="C135" s="302" t="s">
        <v>1510</v>
      </c>
      <c r="D135" s="302">
        <v>0</v>
      </c>
      <c r="E135" s="413">
        <v>0</v>
      </c>
      <c r="F135" s="413">
        <v>0</v>
      </c>
      <c r="G135" s="413">
        <v>0</v>
      </c>
      <c r="H135" s="413">
        <v>0</v>
      </c>
      <c r="I135" s="413">
        <v>0</v>
      </c>
      <c r="J135" s="413">
        <v>0</v>
      </c>
      <c r="K135" s="413">
        <v>0</v>
      </c>
      <c r="L135" s="413">
        <v>0</v>
      </c>
      <c r="M135" s="413">
        <v>0</v>
      </c>
      <c r="N135" s="413">
        <v>0</v>
      </c>
      <c r="O135" s="413">
        <v>0</v>
      </c>
      <c r="P135" s="413">
        <v>0</v>
      </c>
      <c r="Q135" s="413">
        <v>0</v>
      </c>
      <c r="R135" s="413">
        <v>0</v>
      </c>
      <c r="S135" s="413">
        <v>0</v>
      </c>
      <c r="T135" s="413">
        <v>0</v>
      </c>
      <c r="U135" s="413">
        <v>0</v>
      </c>
      <c r="V135" s="413">
        <v>0</v>
      </c>
      <c r="W135" s="413">
        <v>0</v>
      </c>
      <c r="X135" s="413">
        <v>0</v>
      </c>
      <c r="Y135" s="413">
        <v>0</v>
      </c>
      <c r="Z135" s="413">
        <v>0</v>
      </c>
      <c r="AA135" s="413">
        <v>0</v>
      </c>
      <c r="AB135" s="413">
        <v>0</v>
      </c>
      <c r="AC135" s="413">
        <v>0</v>
      </c>
      <c r="AD135" s="413">
        <v>0</v>
      </c>
      <c r="AE135" s="413">
        <v>0</v>
      </c>
      <c r="AF135" s="413">
        <v>0</v>
      </c>
      <c r="AG135" s="413">
        <v>0</v>
      </c>
      <c r="AH135" s="413">
        <v>0</v>
      </c>
      <c r="AI135" s="413">
        <v>0</v>
      </c>
      <c r="AJ135" s="413">
        <v>0</v>
      </c>
      <c r="AK135" s="413">
        <v>0</v>
      </c>
      <c r="AL135" s="413">
        <v>0</v>
      </c>
      <c r="AM135" s="413">
        <v>0</v>
      </c>
      <c r="AN135" s="413">
        <v>0</v>
      </c>
      <c r="AO135" s="413">
        <v>0</v>
      </c>
      <c r="AP135" s="413">
        <v>0</v>
      </c>
      <c r="AQ135" s="413">
        <v>0</v>
      </c>
      <c r="AR135" s="413">
        <v>0</v>
      </c>
      <c r="AS135" s="413">
        <v>0</v>
      </c>
      <c r="AT135" s="413">
        <v>0</v>
      </c>
      <c r="AU135" s="413"/>
      <c r="AV135" s="413"/>
      <c r="AW135" s="413"/>
      <c r="AX135" s="413"/>
      <c r="AY135" s="413"/>
      <c r="AZ135" s="413"/>
      <c r="BA135" s="413"/>
      <c r="BB135" s="413"/>
      <c r="BC135" s="413"/>
      <c r="BD135" s="413"/>
      <c r="BE135" s="413"/>
      <c r="BF135" s="413"/>
      <c r="BG135" s="413"/>
      <c r="BH135" s="413"/>
      <c r="BI135" s="413"/>
      <c r="BJ135" s="413"/>
      <c r="BK135" s="413"/>
      <c r="BL135" s="413"/>
      <c r="BM135" s="413"/>
      <c r="BN135" s="413"/>
      <c r="BO135" s="413"/>
      <c r="BP135" s="413"/>
      <c r="BQ135" s="413"/>
      <c r="BR135" s="413"/>
      <c r="BS135" s="413"/>
      <c r="BT135" s="413"/>
      <c r="BU135" s="413"/>
      <c r="BV135" s="413"/>
      <c r="BW135" s="413"/>
      <c r="BX135" s="413"/>
      <c r="BY135" s="413"/>
      <c r="BZ135" s="413"/>
      <c r="CA135" s="413"/>
      <c r="CB135" s="413"/>
    </row>
    <row r="136" spans="1:80" x14ac:dyDescent="0.25">
      <c r="A136" s="302">
        <v>376</v>
      </c>
      <c r="B136" s="412">
        <v>376</v>
      </c>
      <c r="C136" s="302" t="s">
        <v>108</v>
      </c>
      <c r="D136" s="302">
        <v>0</v>
      </c>
      <c r="E136" s="413">
        <v>0</v>
      </c>
      <c r="F136" s="413">
        <v>0</v>
      </c>
      <c r="G136" s="413">
        <v>0</v>
      </c>
      <c r="H136" s="413">
        <v>0</v>
      </c>
      <c r="I136" s="413">
        <v>0</v>
      </c>
      <c r="J136" s="413">
        <v>0</v>
      </c>
      <c r="K136" s="413">
        <v>0</v>
      </c>
      <c r="L136" s="413">
        <v>0</v>
      </c>
      <c r="M136" s="413">
        <v>0</v>
      </c>
      <c r="N136" s="413">
        <v>0</v>
      </c>
      <c r="O136" s="413">
        <v>0</v>
      </c>
      <c r="P136" s="413">
        <v>0</v>
      </c>
      <c r="Q136" s="413">
        <v>0</v>
      </c>
      <c r="R136" s="413">
        <v>0</v>
      </c>
      <c r="S136" s="413">
        <v>0</v>
      </c>
      <c r="T136" s="413">
        <v>0</v>
      </c>
      <c r="U136" s="413">
        <v>0</v>
      </c>
      <c r="V136" s="413">
        <v>0</v>
      </c>
      <c r="W136" s="413">
        <v>0</v>
      </c>
      <c r="X136" s="413">
        <v>0</v>
      </c>
      <c r="Y136" s="413">
        <v>0</v>
      </c>
      <c r="Z136" s="413">
        <v>0</v>
      </c>
      <c r="AA136" s="413">
        <v>0</v>
      </c>
      <c r="AB136" s="413">
        <v>0</v>
      </c>
      <c r="AC136" s="413">
        <v>0</v>
      </c>
      <c r="AD136" s="413">
        <v>0</v>
      </c>
      <c r="AE136" s="413">
        <v>0</v>
      </c>
      <c r="AF136" s="413">
        <v>0</v>
      </c>
      <c r="AG136" s="413">
        <v>0</v>
      </c>
      <c r="AH136" s="413">
        <v>0</v>
      </c>
      <c r="AI136" s="413">
        <v>0</v>
      </c>
      <c r="AJ136" s="413">
        <v>0</v>
      </c>
      <c r="AK136" s="413">
        <v>0</v>
      </c>
      <c r="AL136" s="413">
        <v>0</v>
      </c>
      <c r="AM136" s="413">
        <v>0</v>
      </c>
      <c r="AN136" s="413">
        <v>0</v>
      </c>
      <c r="AO136" s="413">
        <v>0</v>
      </c>
      <c r="AP136" s="413">
        <v>0</v>
      </c>
      <c r="AQ136" s="413">
        <v>0</v>
      </c>
      <c r="AR136" s="413">
        <v>0</v>
      </c>
      <c r="AS136" s="413">
        <v>0</v>
      </c>
      <c r="AT136" s="413">
        <v>0</v>
      </c>
      <c r="AU136" s="413"/>
      <c r="AV136" s="413"/>
      <c r="AW136" s="413"/>
      <c r="AX136" s="413"/>
      <c r="AY136" s="413"/>
      <c r="AZ136" s="413"/>
      <c r="BA136" s="413"/>
      <c r="BB136" s="413"/>
      <c r="BC136" s="413"/>
      <c r="BD136" s="413"/>
      <c r="BE136" s="413"/>
      <c r="BF136" s="413"/>
      <c r="BG136" s="413"/>
      <c r="BH136" s="413"/>
      <c r="BI136" s="413"/>
      <c r="BJ136" s="413"/>
      <c r="BK136" s="413"/>
      <c r="BL136" s="413"/>
      <c r="BM136" s="413"/>
      <c r="BN136" s="413"/>
      <c r="BO136" s="413"/>
      <c r="BP136" s="413"/>
      <c r="BQ136" s="413"/>
      <c r="BR136" s="413"/>
      <c r="BS136" s="413"/>
      <c r="BT136" s="413"/>
      <c r="BU136" s="413"/>
      <c r="BV136" s="413"/>
      <c r="BW136" s="413"/>
      <c r="BX136" s="413"/>
      <c r="BY136" s="413"/>
      <c r="BZ136" s="413"/>
      <c r="CA136" s="413"/>
      <c r="CB136" s="413"/>
    </row>
    <row r="137" spans="1:80" x14ac:dyDescent="0.25">
      <c r="B137" s="412">
        <v>377</v>
      </c>
      <c r="C137" s="302" t="s">
        <v>1511</v>
      </c>
      <c r="D137" s="302">
        <v>0</v>
      </c>
      <c r="E137" s="413">
        <v>0</v>
      </c>
      <c r="F137" s="413">
        <v>0</v>
      </c>
      <c r="G137" s="413">
        <v>0</v>
      </c>
      <c r="H137" s="413">
        <v>0</v>
      </c>
      <c r="I137" s="413">
        <v>0</v>
      </c>
      <c r="J137" s="413">
        <v>0</v>
      </c>
      <c r="K137" s="413">
        <v>0</v>
      </c>
      <c r="L137" s="413">
        <v>0</v>
      </c>
      <c r="M137" s="413">
        <v>0</v>
      </c>
      <c r="N137" s="413">
        <v>0</v>
      </c>
      <c r="O137" s="413">
        <v>0</v>
      </c>
      <c r="P137" s="413">
        <v>0</v>
      </c>
      <c r="Q137" s="413">
        <v>0</v>
      </c>
      <c r="R137" s="413">
        <v>0</v>
      </c>
      <c r="S137" s="413">
        <v>0</v>
      </c>
      <c r="T137" s="413">
        <v>0</v>
      </c>
      <c r="U137" s="413">
        <v>0</v>
      </c>
      <c r="V137" s="413">
        <v>0</v>
      </c>
      <c r="W137" s="413">
        <v>0</v>
      </c>
      <c r="X137" s="413">
        <v>0</v>
      </c>
      <c r="Y137" s="413">
        <v>0</v>
      </c>
      <c r="Z137" s="413">
        <v>0</v>
      </c>
      <c r="AA137" s="413">
        <v>0</v>
      </c>
      <c r="AB137" s="413">
        <v>0</v>
      </c>
      <c r="AC137" s="413">
        <v>0</v>
      </c>
      <c r="AD137" s="413">
        <v>0</v>
      </c>
      <c r="AE137" s="413">
        <v>0</v>
      </c>
      <c r="AF137" s="413">
        <v>0</v>
      </c>
      <c r="AG137" s="413">
        <v>0</v>
      </c>
      <c r="AH137" s="413">
        <v>0</v>
      </c>
      <c r="AI137" s="413">
        <v>0</v>
      </c>
      <c r="AJ137" s="413">
        <v>0</v>
      </c>
      <c r="AK137" s="413">
        <v>0</v>
      </c>
      <c r="AL137" s="413">
        <v>0</v>
      </c>
      <c r="AM137" s="413">
        <v>0</v>
      </c>
      <c r="AN137" s="413">
        <v>0</v>
      </c>
      <c r="AO137" s="413">
        <v>0</v>
      </c>
      <c r="AP137" s="413">
        <v>0</v>
      </c>
      <c r="AQ137" s="413">
        <v>0</v>
      </c>
      <c r="AR137" s="413">
        <v>0</v>
      </c>
      <c r="AS137" s="413">
        <v>0</v>
      </c>
      <c r="AT137" s="413">
        <v>0</v>
      </c>
      <c r="AU137" s="413"/>
      <c r="AV137" s="413"/>
      <c r="AW137" s="413"/>
      <c r="AX137" s="413"/>
      <c r="AY137" s="413"/>
      <c r="AZ137" s="413"/>
      <c r="BA137" s="413"/>
      <c r="BB137" s="413"/>
      <c r="BC137" s="413"/>
      <c r="BD137" s="413"/>
      <c r="BE137" s="413"/>
      <c r="BF137" s="413"/>
      <c r="BG137" s="413"/>
      <c r="BH137" s="413"/>
      <c r="BI137" s="413"/>
      <c r="BJ137" s="413"/>
      <c r="BK137" s="413"/>
      <c r="BL137" s="413"/>
      <c r="BM137" s="413"/>
      <c r="BN137" s="413"/>
      <c r="BO137" s="413"/>
      <c r="BP137" s="413"/>
      <c r="BQ137" s="413"/>
      <c r="BR137" s="413"/>
      <c r="BS137" s="413"/>
      <c r="BT137" s="413"/>
      <c r="BU137" s="413"/>
      <c r="BV137" s="413"/>
      <c r="BW137" s="413"/>
      <c r="BX137" s="413"/>
      <c r="BY137" s="413"/>
      <c r="BZ137" s="413"/>
      <c r="CA137" s="413"/>
      <c r="CB137" s="413"/>
    </row>
    <row r="138" spans="1:80" x14ac:dyDescent="0.25">
      <c r="B138" s="412">
        <v>378</v>
      </c>
      <c r="C138" s="302" t="s">
        <v>1512</v>
      </c>
      <c r="D138" s="302">
        <v>0</v>
      </c>
      <c r="E138" s="413">
        <v>0</v>
      </c>
      <c r="F138" s="413">
        <v>0</v>
      </c>
      <c r="G138" s="413">
        <v>0</v>
      </c>
      <c r="H138" s="413">
        <v>0</v>
      </c>
      <c r="I138" s="413">
        <v>0</v>
      </c>
      <c r="J138" s="413">
        <v>0</v>
      </c>
      <c r="K138" s="413">
        <v>0</v>
      </c>
      <c r="L138" s="413">
        <v>0</v>
      </c>
      <c r="M138" s="413">
        <v>0</v>
      </c>
      <c r="N138" s="413">
        <v>0</v>
      </c>
      <c r="O138" s="413">
        <v>0</v>
      </c>
      <c r="P138" s="413">
        <v>0</v>
      </c>
      <c r="Q138" s="413">
        <v>0</v>
      </c>
      <c r="R138" s="413">
        <v>0</v>
      </c>
      <c r="S138" s="413">
        <v>0</v>
      </c>
      <c r="T138" s="413">
        <v>0</v>
      </c>
      <c r="U138" s="413">
        <v>0</v>
      </c>
      <c r="V138" s="413">
        <v>0</v>
      </c>
      <c r="W138" s="413">
        <v>0</v>
      </c>
      <c r="X138" s="413">
        <v>0</v>
      </c>
      <c r="Y138" s="413">
        <v>0</v>
      </c>
      <c r="Z138" s="413">
        <v>0</v>
      </c>
      <c r="AA138" s="413">
        <v>0</v>
      </c>
      <c r="AB138" s="413">
        <v>0</v>
      </c>
      <c r="AC138" s="413">
        <v>0</v>
      </c>
      <c r="AD138" s="413">
        <v>0</v>
      </c>
      <c r="AE138" s="413">
        <v>0</v>
      </c>
      <c r="AF138" s="413">
        <v>0</v>
      </c>
      <c r="AG138" s="413">
        <v>0</v>
      </c>
      <c r="AH138" s="413">
        <v>0</v>
      </c>
      <c r="AI138" s="413">
        <v>0</v>
      </c>
      <c r="AJ138" s="413">
        <v>0</v>
      </c>
      <c r="AK138" s="413">
        <v>0</v>
      </c>
      <c r="AL138" s="413">
        <v>0</v>
      </c>
      <c r="AM138" s="413">
        <v>0</v>
      </c>
      <c r="AN138" s="413">
        <v>0</v>
      </c>
      <c r="AO138" s="413">
        <v>0</v>
      </c>
      <c r="AP138" s="413">
        <v>0</v>
      </c>
      <c r="AQ138" s="413">
        <v>0</v>
      </c>
      <c r="AR138" s="413">
        <v>0</v>
      </c>
      <c r="AS138" s="413">
        <v>0</v>
      </c>
      <c r="AT138" s="413">
        <v>0</v>
      </c>
      <c r="AU138" s="413"/>
      <c r="AV138" s="413"/>
      <c r="AW138" s="413"/>
      <c r="AX138" s="413"/>
      <c r="AY138" s="413"/>
      <c r="AZ138" s="413"/>
      <c r="BA138" s="413"/>
      <c r="BB138" s="413"/>
      <c r="BC138" s="413"/>
      <c r="BD138" s="413"/>
      <c r="BE138" s="413"/>
      <c r="BF138" s="413"/>
      <c r="BG138" s="413"/>
      <c r="BH138" s="413"/>
      <c r="BI138" s="413"/>
      <c r="BJ138" s="413"/>
      <c r="BK138" s="413"/>
      <c r="BL138" s="413"/>
      <c r="BM138" s="413"/>
      <c r="BN138" s="413"/>
      <c r="BO138" s="413"/>
      <c r="BP138" s="413"/>
      <c r="BQ138" s="413"/>
      <c r="BR138" s="413"/>
      <c r="BS138" s="413"/>
      <c r="BT138" s="413"/>
      <c r="BU138" s="413"/>
      <c r="BV138" s="413"/>
      <c r="BW138" s="413"/>
      <c r="BX138" s="413"/>
      <c r="BY138" s="413"/>
      <c r="BZ138" s="413"/>
      <c r="CA138" s="413"/>
      <c r="CB138" s="413"/>
    </row>
    <row r="139" spans="1:80" x14ac:dyDescent="0.25">
      <c r="A139" s="302">
        <v>379</v>
      </c>
      <c r="B139" s="412">
        <v>379</v>
      </c>
      <c r="C139" s="302" t="s">
        <v>118</v>
      </c>
      <c r="D139" s="302">
        <v>0</v>
      </c>
      <c r="E139" s="413">
        <v>0</v>
      </c>
      <c r="F139" s="413">
        <v>1971534</v>
      </c>
      <c r="G139" s="413">
        <v>0</v>
      </c>
      <c r="H139" s="413">
        <v>0</v>
      </c>
      <c r="I139" s="413">
        <v>224768</v>
      </c>
      <c r="J139" s="413">
        <v>1106738</v>
      </c>
      <c r="K139" s="413">
        <v>0</v>
      </c>
      <c r="L139" s="413">
        <v>0</v>
      </c>
      <c r="M139" s="413">
        <v>0</v>
      </c>
      <c r="N139" s="413">
        <v>0</v>
      </c>
      <c r="O139" s="413">
        <v>0</v>
      </c>
      <c r="P139" s="413">
        <v>0</v>
      </c>
      <c r="Q139" s="413">
        <v>0</v>
      </c>
      <c r="R139" s="413">
        <v>312059</v>
      </c>
      <c r="S139" s="413">
        <v>43192</v>
      </c>
      <c r="T139" s="413">
        <v>132366</v>
      </c>
      <c r="U139" s="413">
        <v>5491615</v>
      </c>
      <c r="V139" s="413">
        <v>0</v>
      </c>
      <c r="W139" s="413">
        <v>90634</v>
      </c>
      <c r="X139" s="413">
        <v>0</v>
      </c>
      <c r="Y139" s="413">
        <v>215206</v>
      </c>
      <c r="Z139" s="413">
        <v>561772</v>
      </c>
      <c r="AA139" s="413">
        <v>0</v>
      </c>
      <c r="AB139" s="413">
        <v>49759</v>
      </c>
      <c r="AC139" s="413">
        <v>146090</v>
      </c>
      <c r="AD139" s="413">
        <v>111791</v>
      </c>
      <c r="AE139" s="413">
        <v>16636739</v>
      </c>
      <c r="AF139" s="413">
        <v>0</v>
      </c>
      <c r="AG139" s="413">
        <v>108551</v>
      </c>
      <c r="AH139" s="413">
        <v>0</v>
      </c>
      <c r="AI139" s="413">
        <v>8852568</v>
      </c>
      <c r="AJ139" s="413">
        <v>3558449</v>
      </c>
      <c r="AK139" s="413">
        <v>43361053</v>
      </c>
      <c r="AL139" s="413">
        <v>1125248</v>
      </c>
      <c r="AM139" s="413">
        <v>21057</v>
      </c>
      <c r="AN139" s="413">
        <v>263113</v>
      </c>
      <c r="AO139" s="413">
        <v>29829</v>
      </c>
      <c r="AP139" s="413">
        <v>72152</v>
      </c>
      <c r="AQ139" s="413">
        <v>1133647</v>
      </c>
      <c r="AR139" s="413">
        <v>0</v>
      </c>
      <c r="AS139" s="413">
        <v>0</v>
      </c>
      <c r="AT139" s="413">
        <v>182591</v>
      </c>
      <c r="AU139" s="413"/>
      <c r="AV139" s="413"/>
      <c r="AW139" s="413"/>
      <c r="AX139" s="413"/>
      <c r="AY139" s="413"/>
      <c r="AZ139" s="413"/>
      <c r="BA139" s="413"/>
      <c r="BB139" s="413"/>
      <c r="BC139" s="413"/>
      <c r="BD139" s="413"/>
      <c r="BE139" s="413"/>
      <c r="BF139" s="413"/>
      <c r="BG139" s="413"/>
      <c r="BH139" s="413"/>
      <c r="BI139" s="413"/>
      <c r="BJ139" s="413"/>
      <c r="BK139" s="413"/>
      <c r="BL139" s="413"/>
      <c r="BM139" s="413"/>
      <c r="BN139" s="413"/>
      <c r="BO139" s="413"/>
      <c r="BP139" s="413"/>
      <c r="BQ139" s="413"/>
      <c r="BR139" s="413"/>
      <c r="BS139" s="413"/>
      <c r="BT139" s="413"/>
      <c r="BU139" s="413"/>
      <c r="BV139" s="413"/>
      <c r="BW139" s="413"/>
      <c r="BX139" s="413"/>
      <c r="BY139" s="413"/>
      <c r="BZ139" s="413"/>
      <c r="CA139" s="413"/>
      <c r="CB139" s="413"/>
    </row>
    <row r="140" spans="1:80" x14ac:dyDescent="0.25">
      <c r="A140" s="302">
        <v>380</v>
      </c>
      <c r="B140" s="412">
        <v>380</v>
      </c>
      <c r="C140" s="302" t="s">
        <v>121</v>
      </c>
      <c r="D140" s="302">
        <v>0</v>
      </c>
      <c r="E140" s="413">
        <v>0</v>
      </c>
      <c r="F140" s="413">
        <v>0</v>
      </c>
      <c r="G140" s="413">
        <v>0</v>
      </c>
      <c r="H140" s="413">
        <v>0</v>
      </c>
      <c r="I140" s="413">
        <v>916</v>
      </c>
      <c r="J140" s="413">
        <v>0</v>
      </c>
      <c r="K140" s="413">
        <v>0</v>
      </c>
      <c r="L140" s="413">
        <v>0</v>
      </c>
      <c r="M140" s="413">
        <v>0</v>
      </c>
      <c r="N140" s="413">
        <v>0</v>
      </c>
      <c r="O140" s="413">
        <v>0</v>
      </c>
      <c r="P140" s="413">
        <v>0</v>
      </c>
      <c r="Q140" s="413">
        <v>0</v>
      </c>
      <c r="R140" s="413">
        <v>0</v>
      </c>
      <c r="S140" s="413">
        <v>0</v>
      </c>
      <c r="T140" s="413">
        <v>788</v>
      </c>
      <c r="U140" s="413">
        <v>1419</v>
      </c>
      <c r="V140" s="413">
        <v>0</v>
      </c>
      <c r="W140" s="413">
        <v>0</v>
      </c>
      <c r="X140" s="413">
        <v>0</v>
      </c>
      <c r="Y140" s="413">
        <v>0</v>
      </c>
      <c r="Z140" s="413">
        <v>5742</v>
      </c>
      <c r="AA140" s="413">
        <v>0</v>
      </c>
      <c r="AB140" s="413">
        <v>0</v>
      </c>
      <c r="AC140" s="413">
        <v>0</v>
      </c>
      <c r="AD140" s="413">
        <v>0</v>
      </c>
      <c r="AE140" s="413">
        <v>2276130</v>
      </c>
      <c r="AF140" s="413">
        <v>0</v>
      </c>
      <c r="AG140" s="413">
        <v>128</v>
      </c>
      <c r="AH140" s="413">
        <v>0</v>
      </c>
      <c r="AI140" s="413">
        <v>0</v>
      </c>
      <c r="AJ140" s="413">
        <v>3516</v>
      </c>
      <c r="AK140" s="413">
        <v>0</v>
      </c>
      <c r="AL140" s="413">
        <v>4721</v>
      </c>
      <c r="AM140" s="413">
        <v>0</v>
      </c>
      <c r="AN140" s="413">
        <v>0</v>
      </c>
      <c r="AO140" s="413">
        <v>688</v>
      </c>
      <c r="AP140" s="413">
        <v>4186</v>
      </c>
      <c r="AQ140" s="413">
        <v>0</v>
      </c>
      <c r="AR140" s="413">
        <v>0</v>
      </c>
      <c r="AS140" s="413">
        <v>0</v>
      </c>
      <c r="AT140" s="413">
        <v>0</v>
      </c>
      <c r="AU140" s="413"/>
      <c r="AV140" s="413"/>
      <c r="AW140" s="413"/>
      <c r="AX140" s="413"/>
      <c r="AY140" s="413"/>
      <c r="AZ140" s="413"/>
      <c r="BA140" s="413"/>
      <c r="BB140" s="413"/>
      <c r="BC140" s="413"/>
      <c r="BD140" s="413"/>
      <c r="BE140" s="413"/>
      <c r="BF140" s="413"/>
      <c r="BG140" s="413"/>
      <c r="BH140" s="413"/>
      <c r="BI140" s="413"/>
      <c r="BJ140" s="413"/>
      <c r="BK140" s="413"/>
      <c r="BL140" s="413"/>
      <c r="BM140" s="413"/>
      <c r="BN140" s="413"/>
      <c r="BO140" s="413"/>
      <c r="BP140" s="413"/>
      <c r="BQ140" s="413"/>
      <c r="BR140" s="413"/>
      <c r="BS140" s="413"/>
      <c r="BT140" s="413"/>
      <c r="BU140" s="413"/>
      <c r="BV140" s="413"/>
      <c r="BW140" s="413"/>
      <c r="BX140" s="413"/>
      <c r="BY140" s="413"/>
      <c r="BZ140" s="413"/>
      <c r="CA140" s="413"/>
      <c r="CB140" s="413"/>
    </row>
    <row r="141" spans="1:80" x14ac:dyDescent="0.25">
      <c r="B141" s="412">
        <v>381</v>
      </c>
      <c r="C141" s="302" t="s">
        <v>1513</v>
      </c>
      <c r="D141" s="302">
        <v>0</v>
      </c>
      <c r="E141" s="413">
        <v>0</v>
      </c>
      <c r="F141" s="413">
        <v>0</v>
      </c>
      <c r="G141" s="413">
        <v>0</v>
      </c>
      <c r="H141" s="413">
        <v>0</v>
      </c>
      <c r="I141" s="413">
        <v>0</v>
      </c>
      <c r="J141" s="413">
        <v>0</v>
      </c>
      <c r="K141" s="413">
        <v>0</v>
      </c>
      <c r="L141" s="413">
        <v>0</v>
      </c>
      <c r="M141" s="413">
        <v>0</v>
      </c>
      <c r="N141" s="413">
        <v>0</v>
      </c>
      <c r="O141" s="413">
        <v>0</v>
      </c>
      <c r="P141" s="413">
        <v>0</v>
      </c>
      <c r="Q141" s="413">
        <v>0</v>
      </c>
      <c r="R141" s="413">
        <v>0</v>
      </c>
      <c r="S141" s="413">
        <v>0</v>
      </c>
      <c r="T141" s="413">
        <v>0</v>
      </c>
      <c r="U141" s="413">
        <v>0</v>
      </c>
      <c r="V141" s="413">
        <v>0</v>
      </c>
      <c r="W141" s="413">
        <v>0</v>
      </c>
      <c r="X141" s="413">
        <v>0</v>
      </c>
      <c r="Y141" s="413">
        <v>0</v>
      </c>
      <c r="Z141" s="413">
        <v>0</v>
      </c>
      <c r="AA141" s="413">
        <v>0</v>
      </c>
      <c r="AB141" s="413">
        <v>0</v>
      </c>
      <c r="AC141" s="413">
        <v>0</v>
      </c>
      <c r="AD141" s="413">
        <v>0</v>
      </c>
      <c r="AE141" s="413">
        <v>0</v>
      </c>
      <c r="AF141" s="413">
        <v>0</v>
      </c>
      <c r="AG141" s="413">
        <v>0</v>
      </c>
      <c r="AH141" s="413">
        <v>0</v>
      </c>
      <c r="AI141" s="413">
        <v>0</v>
      </c>
      <c r="AJ141" s="413">
        <v>0</v>
      </c>
      <c r="AK141" s="413">
        <v>0</v>
      </c>
      <c r="AL141" s="413">
        <v>0</v>
      </c>
      <c r="AM141" s="413">
        <v>0</v>
      </c>
      <c r="AN141" s="413">
        <v>0</v>
      </c>
      <c r="AO141" s="413">
        <v>0</v>
      </c>
      <c r="AP141" s="413">
        <v>0</v>
      </c>
      <c r="AQ141" s="413">
        <v>0</v>
      </c>
      <c r="AR141" s="413">
        <v>0</v>
      </c>
      <c r="AS141" s="413">
        <v>0</v>
      </c>
      <c r="AT141" s="413">
        <v>0</v>
      </c>
      <c r="AU141" s="413"/>
      <c r="AV141" s="413"/>
      <c r="AW141" s="413"/>
      <c r="AX141" s="413"/>
      <c r="AY141" s="413"/>
      <c r="AZ141" s="413"/>
      <c r="BA141" s="413"/>
      <c r="BB141" s="413"/>
      <c r="BC141" s="413"/>
      <c r="BD141" s="413"/>
      <c r="BE141" s="413"/>
      <c r="BF141" s="413"/>
      <c r="BG141" s="413"/>
      <c r="BH141" s="413"/>
      <c r="BI141" s="413"/>
      <c r="BJ141" s="413"/>
      <c r="BK141" s="413"/>
      <c r="BL141" s="413"/>
      <c r="BM141" s="413"/>
      <c r="BN141" s="413"/>
      <c r="BO141" s="413"/>
      <c r="BP141" s="413"/>
      <c r="BQ141" s="413"/>
      <c r="BR141" s="413"/>
      <c r="BS141" s="413"/>
      <c r="BT141" s="413"/>
      <c r="BU141" s="413"/>
      <c r="BV141" s="413"/>
      <c r="BW141" s="413"/>
      <c r="BX141" s="413"/>
      <c r="BY141" s="413"/>
      <c r="BZ141" s="413"/>
      <c r="CA141" s="413"/>
      <c r="CB141" s="413"/>
    </row>
    <row r="142" spans="1:80" x14ac:dyDescent="0.25">
      <c r="B142" s="412">
        <v>382</v>
      </c>
      <c r="C142" s="302" t="s">
        <v>1514</v>
      </c>
      <c r="D142" s="302">
        <v>0</v>
      </c>
      <c r="E142" s="413">
        <v>0</v>
      </c>
      <c r="F142" s="413">
        <v>0</v>
      </c>
      <c r="G142" s="413">
        <v>0</v>
      </c>
      <c r="H142" s="413">
        <v>0</v>
      </c>
      <c r="I142" s="413">
        <v>0</v>
      </c>
      <c r="J142" s="413">
        <v>0</v>
      </c>
      <c r="K142" s="413">
        <v>0</v>
      </c>
      <c r="L142" s="413">
        <v>0</v>
      </c>
      <c r="M142" s="413">
        <v>0</v>
      </c>
      <c r="N142" s="413">
        <v>0</v>
      </c>
      <c r="O142" s="413">
        <v>0</v>
      </c>
      <c r="P142" s="413">
        <v>0</v>
      </c>
      <c r="Q142" s="413">
        <v>0</v>
      </c>
      <c r="R142" s="413">
        <v>0</v>
      </c>
      <c r="S142" s="413">
        <v>0</v>
      </c>
      <c r="T142" s="413">
        <v>0</v>
      </c>
      <c r="U142" s="413">
        <v>0</v>
      </c>
      <c r="V142" s="413">
        <v>0</v>
      </c>
      <c r="W142" s="413">
        <v>0</v>
      </c>
      <c r="X142" s="413">
        <v>0</v>
      </c>
      <c r="Y142" s="413">
        <v>0</v>
      </c>
      <c r="Z142" s="413">
        <v>0</v>
      </c>
      <c r="AA142" s="413">
        <v>0</v>
      </c>
      <c r="AB142" s="413">
        <v>0</v>
      </c>
      <c r="AC142" s="413">
        <v>0</v>
      </c>
      <c r="AD142" s="413">
        <v>0</v>
      </c>
      <c r="AE142" s="413">
        <v>0</v>
      </c>
      <c r="AF142" s="413">
        <v>0</v>
      </c>
      <c r="AG142" s="413">
        <v>0</v>
      </c>
      <c r="AH142" s="413">
        <v>0</v>
      </c>
      <c r="AI142" s="413">
        <v>0</v>
      </c>
      <c r="AJ142" s="413">
        <v>0</v>
      </c>
      <c r="AK142" s="413">
        <v>0</v>
      </c>
      <c r="AL142" s="413">
        <v>0</v>
      </c>
      <c r="AM142" s="413">
        <v>0</v>
      </c>
      <c r="AN142" s="413">
        <v>0</v>
      </c>
      <c r="AO142" s="413">
        <v>0</v>
      </c>
      <c r="AP142" s="413">
        <v>0</v>
      </c>
      <c r="AQ142" s="413">
        <v>0</v>
      </c>
      <c r="AR142" s="413">
        <v>0</v>
      </c>
      <c r="AS142" s="413">
        <v>0</v>
      </c>
      <c r="AT142" s="413">
        <v>0</v>
      </c>
      <c r="AU142" s="413"/>
      <c r="AV142" s="413"/>
      <c r="AW142" s="413"/>
      <c r="AX142" s="413"/>
      <c r="AY142" s="413"/>
      <c r="AZ142" s="413"/>
      <c r="BA142" s="413"/>
      <c r="BB142" s="413"/>
      <c r="BC142" s="413"/>
      <c r="BD142" s="413"/>
      <c r="BE142" s="413"/>
      <c r="BF142" s="413"/>
      <c r="BG142" s="413"/>
      <c r="BH142" s="413"/>
      <c r="BI142" s="413"/>
      <c r="BJ142" s="413"/>
      <c r="BK142" s="413"/>
      <c r="BL142" s="413"/>
      <c r="BM142" s="413"/>
      <c r="BN142" s="413"/>
      <c r="BO142" s="413"/>
      <c r="BP142" s="413"/>
      <c r="BQ142" s="413"/>
      <c r="BR142" s="413"/>
      <c r="BS142" s="413"/>
      <c r="BT142" s="413"/>
      <c r="BU142" s="413"/>
      <c r="BV142" s="413"/>
      <c r="BW142" s="413"/>
      <c r="BX142" s="413"/>
      <c r="BY142" s="413"/>
      <c r="BZ142" s="413"/>
      <c r="CA142" s="413"/>
      <c r="CB142" s="413"/>
    </row>
    <row r="143" spans="1:80" x14ac:dyDescent="0.25">
      <c r="B143" s="412">
        <v>383</v>
      </c>
      <c r="C143" s="302" t="s">
        <v>1515</v>
      </c>
      <c r="D143" s="302">
        <v>0</v>
      </c>
      <c r="E143" s="413">
        <v>0</v>
      </c>
      <c r="F143" s="413">
        <v>0</v>
      </c>
      <c r="G143" s="413">
        <v>0</v>
      </c>
      <c r="H143" s="413">
        <v>0</v>
      </c>
      <c r="I143" s="413">
        <v>0</v>
      </c>
      <c r="J143" s="413">
        <v>0</v>
      </c>
      <c r="K143" s="413">
        <v>0</v>
      </c>
      <c r="L143" s="413">
        <v>0</v>
      </c>
      <c r="M143" s="413">
        <v>0</v>
      </c>
      <c r="N143" s="413">
        <v>0</v>
      </c>
      <c r="O143" s="413">
        <v>0</v>
      </c>
      <c r="P143" s="413">
        <v>0</v>
      </c>
      <c r="Q143" s="413">
        <v>0</v>
      </c>
      <c r="R143" s="413">
        <v>0</v>
      </c>
      <c r="S143" s="413">
        <v>0</v>
      </c>
      <c r="T143" s="413">
        <v>0</v>
      </c>
      <c r="U143" s="413">
        <v>0</v>
      </c>
      <c r="V143" s="413">
        <v>0</v>
      </c>
      <c r="W143" s="413">
        <v>0</v>
      </c>
      <c r="X143" s="413">
        <v>0</v>
      </c>
      <c r="Y143" s="413">
        <v>0</v>
      </c>
      <c r="Z143" s="413">
        <v>0</v>
      </c>
      <c r="AA143" s="413">
        <v>0</v>
      </c>
      <c r="AB143" s="413">
        <v>0</v>
      </c>
      <c r="AC143" s="413">
        <v>0</v>
      </c>
      <c r="AD143" s="413">
        <v>0</v>
      </c>
      <c r="AE143" s="413">
        <v>0</v>
      </c>
      <c r="AF143" s="413">
        <v>0</v>
      </c>
      <c r="AG143" s="413">
        <v>0</v>
      </c>
      <c r="AH143" s="413">
        <v>0</v>
      </c>
      <c r="AI143" s="413">
        <v>0</v>
      </c>
      <c r="AJ143" s="413">
        <v>0</v>
      </c>
      <c r="AK143" s="413">
        <v>0</v>
      </c>
      <c r="AL143" s="413">
        <v>0</v>
      </c>
      <c r="AM143" s="413">
        <v>0</v>
      </c>
      <c r="AN143" s="413">
        <v>0</v>
      </c>
      <c r="AO143" s="413">
        <v>0</v>
      </c>
      <c r="AP143" s="413">
        <v>0</v>
      </c>
      <c r="AQ143" s="413">
        <v>0</v>
      </c>
      <c r="AR143" s="413">
        <v>0</v>
      </c>
      <c r="AS143" s="413">
        <v>0</v>
      </c>
      <c r="AT143" s="413">
        <v>0</v>
      </c>
      <c r="AU143" s="413"/>
      <c r="AV143" s="413"/>
      <c r="AW143" s="413"/>
      <c r="AX143" s="413"/>
      <c r="AY143" s="413"/>
      <c r="AZ143" s="413"/>
      <c r="BA143" s="413"/>
      <c r="BB143" s="413"/>
      <c r="BC143" s="413"/>
      <c r="BD143" s="413"/>
      <c r="BE143" s="413"/>
      <c r="BF143" s="413"/>
      <c r="BG143" s="413"/>
      <c r="BH143" s="413"/>
      <c r="BI143" s="413"/>
      <c r="BJ143" s="413"/>
      <c r="BK143" s="413"/>
      <c r="BL143" s="413"/>
      <c r="BM143" s="413"/>
      <c r="BN143" s="413"/>
      <c r="BO143" s="413"/>
      <c r="BP143" s="413"/>
      <c r="BQ143" s="413"/>
      <c r="BR143" s="413"/>
      <c r="BS143" s="413"/>
      <c r="BT143" s="413"/>
      <c r="BU143" s="413"/>
      <c r="BV143" s="413"/>
      <c r="BW143" s="413"/>
      <c r="BX143" s="413"/>
      <c r="BY143" s="413"/>
      <c r="BZ143" s="413"/>
      <c r="CA143" s="413"/>
      <c r="CB143" s="413"/>
    </row>
    <row r="144" spans="1:80" x14ac:dyDescent="0.25">
      <c r="B144" s="412">
        <v>384</v>
      </c>
      <c r="C144" s="302" t="s">
        <v>1516</v>
      </c>
      <c r="D144" s="302">
        <v>0</v>
      </c>
      <c r="E144" s="413">
        <v>0</v>
      </c>
      <c r="F144" s="413">
        <v>0</v>
      </c>
      <c r="G144" s="413">
        <v>0</v>
      </c>
      <c r="H144" s="413">
        <v>0</v>
      </c>
      <c r="I144" s="413">
        <v>0</v>
      </c>
      <c r="J144" s="413">
        <v>0</v>
      </c>
      <c r="K144" s="413">
        <v>0</v>
      </c>
      <c r="L144" s="413">
        <v>0</v>
      </c>
      <c r="M144" s="413">
        <v>0</v>
      </c>
      <c r="N144" s="413">
        <v>0</v>
      </c>
      <c r="O144" s="413">
        <v>0</v>
      </c>
      <c r="P144" s="413">
        <v>0</v>
      </c>
      <c r="Q144" s="413">
        <v>0</v>
      </c>
      <c r="R144" s="413">
        <v>0</v>
      </c>
      <c r="S144" s="413">
        <v>0</v>
      </c>
      <c r="T144" s="413">
        <v>0</v>
      </c>
      <c r="U144" s="413">
        <v>0</v>
      </c>
      <c r="V144" s="413">
        <v>0</v>
      </c>
      <c r="W144" s="413">
        <v>0</v>
      </c>
      <c r="X144" s="413">
        <v>0</v>
      </c>
      <c r="Y144" s="413">
        <v>0</v>
      </c>
      <c r="Z144" s="413">
        <v>0</v>
      </c>
      <c r="AA144" s="413">
        <v>0</v>
      </c>
      <c r="AB144" s="413">
        <v>0</v>
      </c>
      <c r="AC144" s="413">
        <v>0</v>
      </c>
      <c r="AD144" s="413">
        <v>0</v>
      </c>
      <c r="AE144" s="413">
        <v>0</v>
      </c>
      <c r="AF144" s="413">
        <v>0</v>
      </c>
      <c r="AG144" s="413">
        <v>0</v>
      </c>
      <c r="AH144" s="413">
        <v>0</v>
      </c>
      <c r="AI144" s="413">
        <v>0</v>
      </c>
      <c r="AJ144" s="413">
        <v>0</v>
      </c>
      <c r="AK144" s="413">
        <v>0</v>
      </c>
      <c r="AL144" s="413">
        <v>0</v>
      </c>
      <c r="AM144" s="413">
        <v>0</v>
      </c>
      <c r="AN144" s="413">
        <v>0</v>
      </c>
      <c r="AO144" s="413">
        <v>0</v>
      </c>
      <c r="AP144" s="413">
        <v>0</v>
      </c>
      <c r="AQ144" s="413">
        <v>0</v>
      </c>
      <c r="AR144" s="413">
        <v>0</v>
      </c>
      <c r="AS144" s="413">
        <v>0</v>
      </c>
      <c r="AT144" s="413">
        <v>0</v>
      </c>
      <c r="AU144" s="413"/>
      <c r="AV144" s="413"/>
      <c r="AW144" s="413"/>
      <c r="AX144" s="413"/>
      <c r="AY144" s="413"/>
      <c r="AZ144" s="413"/>
      <c r="BA144" s="413"/>
      <c r="BB144" s="413"/>
      <c r="BC144" s="413"/>
      <c r="BD144" s="413"/>
      <c r="BE144" s="413"/>
      <c r="BF144" s="413"/>
      <c r="BG144" s="413"/>
      <c r="BH144" s="413"/>
      <c r="BI144" s="413"/>
      <c r="BJ144" s="413"/>
      <c r="BK144" s="413"/>
      <c r="BL144" s="413"/>
      <c r="BM144" s="413"/>
      <c r="BN144" s="413"/>
      <c r="BO144" s="413"/>
      <c r="BP144" s="413"/>
      <c r="BQ144" s="413"/>
      <c r="BR144" s="413"/>
      <c r="BS144" s="413"/>
      <c r="BT144" s="413"/>
      <c r="BU144" s="413"/>
      <c r="BV144" s="413"/>
      <c r="BW144" s="413"/>
      <c r="BX144" s="413"/>
      <c r="BY144" s="413"/>
      <c r="BZ144" s="413"/>
      <c r="CA144" s="413"/>
      <c r="CB144" s="413"/>
    </row>
    <row r="145" spans="1:80" x14ac:dyDescent="0.25">
      <c r="A145" s="302">
        <v>385</v>
      </c>
      <c r="B145" s="412">
        <v>385</v>
      </c>
      <c r="C145" s="302" t="s">
        <v>115</v>
      </c>
      <c r="D145" s="302">
        <v>0</v>
      </c>
      <c r="E145" s="413">
        <v>0</v>
      </c>
      <c r="F145" s="413">
        <v>1972806</v>
      </c>
      <c r="G145" s="413">
        <v>0</v>
      </c>
      <c r="H145" s="413">
        <v>0</v>
      </c>
      <c r="I145" s="413">
        <v>901865</v>
      </c>
      <c r="J145" s="413">
        <v>1691434</v>
      </c>
      <c r="K145" s="413">
        <v>0</v>
      </c>
      <c r="L145" s="413">
        <v>0</v>
      </c>
      <c r="M145" s="413">
        <v>0</v>
      </c>
      <c r="N145" s="413">
        <v>0</v>
      </c>
      <c r="O145" s="413">
        <v>0</v>
      </c>
      <c r="P145" s="413">
        <v>0</v>
      </c>
      <c r="Q145" s="413">
        <v>0</v>
      </c>
      <c r="R145" s="413">
        <v>312059</v>
      </c>
      <c r="S145" s="413">
        <v>76897</v>
      </c>
      <c r="T145" s="413">
        <v>132454</v>
      </c>
      <c r="U145" s="413">
        <v>5491615</v>
      </c>
      <c r="V145" s="413">
        <v>0</v>
      </c>
      <c r="W145" s="413">
        <v>116258</v>
      </c>
      <c r="X145" s="413">
        <v>0</v>
      </c>
      <c r="Y145" s="413">
        <v>364093</v>
      </c>
      <c r="Z145" s="413">
        <v>2033094</v>
      </c>
      <c r="AA145" s="413">
        <v>0</v>
      </c>
      <c r="AB145" s="413">
        <v>79683</v>
      </c>
      <c r="AC145" s="413">
        <v>146090</v>
      </c>
      <c r="AD145" s="413">
        <v>202435</v>
      </c>
      <c r="AE145" s="413">
        <v>35521529</v>
      </c>
      <c r="AF145" s="413">
        <v>0</v>
      </c>
      <c r="AG145" s="413">
        <v>108565</v>
      </c>
      <c r="AH145" s="413">
        <v>0</v>
      </c>
      <c r="AI145" s="413">
        <v>33081168</v>
      </c>
      <c r="AJ145" s="413">
        <v>3558449</v>
      </c>
      <c r="AK145" s="413">
        <v>410673542</v>
      </c>
      <c r="AL145" s="413">
        <v>2419111</v>
      </c>
      <c r="AM145" s="413">
        <v>699819</v>
      </c>
      <c r="AN145" s="413">
        <v>341199</v>
      </c>
      <c r="AO145" s="413">
        <v>33085</v>
      </c>
      <c r="AP145" s="413">
        <v>190554</v>
      </c>
      <c r="AQ145" s="413">
        <v>2637204</v>
      </c>
      <c r="AR145" s="413">
        <v>0</v>
      </c>
      <c r="AS145" s="413">
        <v>0</v>
      </c>
      <c r="AT145" s="413">
        <v>182591</v>
      </c>
      <c r="AU145" s="413"/>
      <c r="AV145" s="413"/>
      <c r="AW145" s="413"/>
      <c r="AX145" s="413"/>
      <c r="AY145" s="413"/>
      <c r="AZ145" s="413"/>
      <c r="BA145" s="413"/>
      <c r="BB145" s="413"/>
      <c r="BC145" s="413"/>
      <c r="BD145" s="413"/>
      <c r="BE145" s="413"/>
      <c r="BF145" s="413"/>
      <c r="BG145" s="413"/>
      <c r="BH145" s="413"/>
      <c r="BI145" s="413"/>
      <c r="BJ145" s="413"/>
      <c r="BK145" s="413"/>
      <c r="BL145" s="413"/>
      <c r="BM145" s="413"/>
      <c r="BN145" s="413"/>
      <c r="BO145" s="413"/>
      <c r="BP145" s="413"/>
      <c r="BQ145" s="413"/>
      <c r="BR145" s="413"/>
      <c r="BS145" s="413"/>
      <c r="BT145" s="413"/>
      <c r="BU145" s="413"/>
      <c r="BV145" s="413"/>
      <c r="BW145" s="413"/>
      <c r="BX145" s="413"/>
      <c r="BY145" s="413"/>
      <c r="BZ145" s="413"/>
      <c r="CA145" s="413"/>
      <c r="CB145" s="413"/>
    </row>
    <row r="146" spans="1:80" x14ac:dyDescent="0.25">
      <c r="A146" s="302">
        <v>386</v>
      </c>
      <c r="B146" s="412">
        <v>386</v>
      </c>
      <c r="C146" s="302" t="s">
        <v>194</v>
      </c>
      <c r="D146" s="302">
        <v>0</v>
      </c>
      <c r="E146" s="413">
        <v>0</v>
      </c>
      <c r="F146" s="413">
        <v>0</v>
      </c>
      <c r="G146" s="413">
        <v>0</v>
      </c>
      <c r="H146" s="413">
        <v>0</v>
      </c>
      <c r="I146" s="413">
        <v>0</v>
      </c>
      <c r="J146" s="413">
        <v>0</v>
      </c>
      <c r="K146" s="413">
        <v>0</v>
      </c>
      <c r="L146" s="413">
        <v>0</v>
      </c>
      <c r="M146" s="413">
        <v>0</v>
      </c>
      <c r="N146" s="413">
        <v>0</v>
      </c>
      <c r="O146" s="413">
        <v>0</v>
      </c>
      <c r="P146" s="413">
        <v>0</v>
      </c>
      <c r="Q146" s="413">
        <v>0</v>
      </c>
      <c r="R146" s="413">
        <v>0</v>
      </c>
      <c r="S146" s="413">
        <v>0</v>
      </c>
      <c r="T146" s="413">
        <v>0</v>
      </c>
      <c r="U146" s="413">
        <v>0</v>
      </c>
      <c r="V146" s="413">
        <v>0</v>
      </c>
      <c r="W146" s="413">
        <v>0</v>
      </c>
      <c r="X146" s="413">
        <v>0</v>
      </c>
      <c r="Y146" s="413">
        <v>0</v>
      </c>
      <c r="Z146" s="413">
        <v>0</v>
      </c>
      <c r="AA146" s="413">
        <v>0</v>
      </c>
      <c r="AB146" s="413">
        <v>0</v>
      </c>
      <c r="AC146" s="413">
        <v>0</v>
      </c>
      <c r="AD146" s="413">
        <v>0</v>
      </c>
      <c r="AE146" s="413">
        <v>0</v>
      </c>
      <c r="AF146" s="413">
        <v>0</v>
      </c>
      <c r="AG146" s="413">
        <v>0</v>
      </c>
      <c r="AH146" s="413">
        <v>0</v>
      </c>
      <c r="AI146" s="413">
        <v>0</v>
      </c>
      <c r="AJ146" s="413">
        <v>0</v>
      </c>
      <c r="AK146" s="413">
        <v>0</v>
      </c>
      <c r="AL146" s="413">
        <v>0</v>
      </c>
      <c r="AM146" s="413">
        <v>0</v>
      </c>
      <c r="AN146" s="413">
        <v>0</v>
      </c>
      <c r="AO146" s="413">
        <v>0</v>
      </c>
      <c r="AP146" s="413">
        <v>0</v>
      </c>
      <c r="AQ146" s="413">
        <v>0</v>
      </c>
      <c r="AR146" s="413">
        <v>0</v>
      </c>
      <c r="AS146" s="413">
        <v>0</v>
      </c>
      <c r="AT146" s="413">
        <v>0</v>
      </c>
      <c r="AU146" s="413"/>
      <c r="AV146" s="413"/>
      <c r="AW146" s="413"/>
      <c r="AX146" s="413"/>
      <c r="AY146" s="413"/>
      <c r="AZ146" s="413"/>
      <c r="BA146" s="413"/>
      <c r="BB146" s="413"/>
      <c r="BC146" s="413"/>
      <c r="BD146" s="413"/>
      <c r="BE146" s="413"/>
      <c r="BF146" s="413"/>
      <c r="BG146" s="413"/>
      <c r="BH146" s="413"/>
      <c r="BI146" s="413"/>
      <c r="BJ146" s="413"/>
      <c r="BK146" s="413"/>
      <c r="BL146" s="413"/>
      <c r="BM146" s="413"/>
      <c r="BN146" s="413"/>
      <c r="BO146" s="413"/>
      <c r="BP146" s="413"/>
      <c r="BQ146" s="413"/>
      <c r="BR146" s="413"/>
      <c r="BS146" s="413"/>
      <c r="BT146" s="413"/>
      <c r="BU146" s="413"/>
      <c r="BV146" s="413"/>
      <c r="BW146" s="413"/>
      <c r="BX146" s="413"/>
      <c r="BY146" s="413"/>
      <c r="BZ146" s="413"/>
      <c r="CA146" s="413"/>
      <c r="CB146" s="413"/>
    </row>
    <row r="147" spans="1:80" x14ac:dyDescent="0.25">
      <c r="A147" s="302">
        <v>387</v>
      </c>
      <c r="B147" s="412">
        <v>387</v>
      </c>
      <c r="C147" s="302" t="s">
        <v>195</v>
      </c>
      <c r="D147" s="302">
        <v>0</v>
      </c>
      <c r="E147" s="413">
        <v>0</v>
      </c>
      <c r="F147" s="413">
        <v>0</v>
      </c>
      <c r="G147" s="413">
        <v>0</v>
      </c>
      <c r="H147" s="413">
        <v>0</v>
      </c>
      <c r="I147" s="413">
        <v>0</v>
      </c>
      <c r="J147" s="413">
        <v>0</v>
      </c>
      <c r="K147" s="413">
        <v>0</v>
      </c>
      <c r="L147" s="413">
        <v>0</v>
      </c>
      <c r="M147" s="413">
        <v>0</v>
      </c>
      <c r="N147" s="413">
        <v>0</v>
      </c>
      <c r="O147" s="413">
        <v>0</v>
      </c>
      <c r="P147" s="413">
        <v>0</v>
      </c>
      <c r="Q147" s="413">
        <v>0</v>
      </c>
      <c r="R147" s="413">
        <v>0</v>
      </c>
      <c r="S147" s="413">
        <v>0</v>
      </c>
      <c r="T147" s="413">
        <v>0</v>
      </c>
      <c r="U147" s="413">
        <v>0</v>
      </c>
      <c r="V147" s="413">
        <v>0</v>
      </c>
      <c r="W147" s="413">
        <v>0</v>
      </c>
      <c r="X147" s="413">
        <v>0</v>
      </c>
      <c r="Y147" s="413">
        <v>0</v>
      </c>
      <c r="Z147" s="413">
        <v>0</v>
      </c>
      <c r="AA147" s="413">
        <v>0</v>
      </c>
      <c r="AB147" s="413">
        <v>0</v>
      </c>
      <c r="AC147" s="413">
        <v>0</v>
      </c>
      <c r="AD147" s="413">
        <v>0</v>
      </c>
      <c r="AE147" s="413">
        <v>0</v>
      </c>
      <c r="AF147" s="413">
        <v>0</v>
      </c>
      <c r="AG147" s="413">
        <v>0</v>
      </c>
      <c r="AH147" s="413">
        <v>0</v>
      </c>
      <c r="AI147" s="413">
        <v>156653</v>
      </c>
      <c r="AJ147" s="413">
        <v>0</v>
      </c>
      <c r="AK147" s="413">
        <v>9580069</v>
      </c>
      <c r="AL147" s="413">
        <v>0</v>
      </c>
      <c r="AM147" s="413">
        <v>0</v>
      </c>
      <c r="AN147" s="413">
        <v>0</v>
      </c>
      <c r="AO147" s="413">
        <v>0</v>
      </c>
      <c r="AP147" s="413">
        <v>0</v>
      </c>
      <c r="AQ147" s="413">
        <v>0</v>
      </c>
      <c r="AR147" s="413">
        <v>0</v>
      </c>
      <c r="AS147" s="413">
        <v>0</v>
      </c>
      <c r="AT147" s="413">
        <v>0</v>
      </c>
      <c r="AU147" s="413"/>
      <c r="AV147" s="413"/>
      <c r="AW147" s="413"/>
      <c r="AX147" s="413"/>
      <c r="AY147" s="413"/>
      <c r="AZ147" s="413"/>
      <c r="BA147" s="413"/>
      <c r="BB147" s="413"/>
      <c r="BC147" s="413"/>
      <c r="BD147" s="413"/>
      <c r="BE147" s="413"/>
      <c r="BF147" s="413"/>
      <c r="BG147" s="413"/>
      <c r="BH147" s="413"/>
      <c r="BI147" s="413"/>
      <c r="BJ147" s="413"/>
      <c r="BK147" s="413"/>
      <c r="BL147" s="413"/>
      <c r="BM147" s="413"/>
      <c r="BN147" s="413"/>
      <c r="BO147" s="413"/>
      <c r="BP147" s="413"/>
      <c r="BQ147" s="413"/>
      <c r="BR147" s="413"/>
      <c r="BS147" s="413"/>
      <c r="BT147" s="413"/>
      <c r="BU147" s="413"/>
      <c r="BV147" s="413"/>
      <c r="BW147" s="413"/>
      <c r="BX147" s="413"/>
      <c r="BY147" s="413"/>
      <c r="BZ147" s="413"/>
      <c r="CA147" s="413"/>
      <c r="CB147" s="413"/>
    </row>
    <row r="148" spans="1:80" x14ac:dyDescent="0.25">
      <c r="A148" s="302">
        <v>388</v>
      </c>
      <c r="B148" s="412">
        <v>388</v>
      </c>
      <c r="C148" s="302" t="s">
        <v>189</v>
      </c>
      <c r="D148" s="302">
        <v>0</v>
      </c>
      <c r="E148" s="413">
        <v>0</v>
      </c>
      <c r="F148" s="413">
        <v>7737061</v>
      </c>
      <c r="G148" s="413">
        <v>0</v>
      </c>
      <c r="H148" s="413">
        <v>0</v>
      </c>
      <c r="I148" s="413">
        <v>351789</v>
      </c>
      <c r="J148" s="413">
        <v>2504508</v>
      </c>
      <c r="K148" s="413">
        <v>0</v>
      </c>
      <c r="L148" s="413">
        <v>0</v>
      </c>
      <c r="M148" s="413">
        <v>0</v>
      </c>
      <c r="N148" s="413">
        <v>0</v>
      </c>
      <c r="O148" s="413">
        <v>0</v>
      </c>
      <c r="P148" s="413">
        <v>0</v>
      </c>
      <c r="Q148" s="413">
        <v>0</v>
      </c>
      <c r="R148" s="413">
        <v>27765</v>
      </c>
      <c r="S148" s="413">
        <v>0</v>
      </c>
      <c r="T148" s="413">
        <v>99348</v>
      </c>
      <c r="U148" s="413">
        <v>2235670</v>
      </c>
      <c r="V148" s="413">
        <v>0</v>
      </c>
      <c r="W148" s="413">
        <v>182781</v>
      </c>
      <c r="X148" s="413">
        <v>0</v>
      </c>
      <c r="Y148" s="413">
        <v>11031</v>
      </c>
      <c r="Z148" s="413">
        <v>253394</v>
      </c>
      <c r="AA148" s="413">
        <v>0</v>
      </c>
      <c r="AB148" s="413">
        <v>116442</v>
      </c>
      <c r="AC148" s="413">
        <v>65162</v>
      </c>
      <c r="AD148" s="413">
        <v>696260</v>
      </c>
      <c r="AE148" s="413">
        <v>65406117</v>
      </c>
      <c r="AF148" s="413">
        <v>0</v>
      </c>
      <c r="AG148" s="413">
        <v>11484</v>
      </c>
      <c r="AH148" s="413">
        <v>0</v>
      </c>
      <c r="AI148" s="413">
        <v>9431182</v>
      </c>
      <c r="AJ148" s="413">
        <v>1972618</v>
      </c>
      <c r="AK148" s="413">
        <v>38712754</v>
      </c>
      <c r="AL148" s="413">
        <v>141691</v>
      </c>
      <c r="AM148" s="413">
        <v>69993</v>
      </c>
      <c r="AN148" s="413">
        <v>50551</v>
      </c>
      <c r="AO148" s="413">
        <v>6306</v>
      </c>
      <c r="AP148" s="413">
        <v>34350</v>
      </c>
      <c r="AQ148" s="413">
        <v>2045657</v>
      </c>
      <c r="AR148" s="413">
        <v>0</v>
      </c>
      <c r="AS148" s="413">
        <v>0</v>
      </c>
      <c r="AT148" s="413">
        <v>72042</v>
      </c>
      <c r="AU148" s="413"/>
      <c r="AV148" s="413"/>
      <c r="AW148" s="413"/>
      <c r="AX148" s="413"/>
      <c r="AY148" s="413"/>
      <c r="AZ148" s="413"/>
      <c r="BA148" s="413"/>
      <c r="BB148" s="413"/>
      <c r="BC148" s="413"/>
      <c r="BD148" s="413"/>
      <c r="BE148" s="413"/>
      <c r="BF148" s="413"/>
      <c r="BG148" s="413"/>
      <c r="BH148" s="413"/>
      <c r="BI148" s="413"/>
      <c r="BJ148" s="413"/>
      <c r="BK148" s="413"/>
      <c r="BL148" s="413"/>
      <c r="BM148" s="413"/>
      <c r="BN148" s="413"/>
      <c r="BO148" s="413"/>
      <c r="BP148" s="413"/>
      <c r="BQ148" s="413"/>
      <c r="BR148" s="413"/>
      <c r="BS148" s="413"/>
      <c r="BT148" s="413"/>
      <c r="BU148" s="413"/>
      <c r="BV148" s="413"/>
      <c r="BW148" s="413"/>
      <c r="BX148" s="413"/>
      <c r="BY148" s="413"/>
      <c r="BZ148" s="413"/>
      <c r="CA148" s="413"/>
      <c r="CB148" s="413"/>
    </row>
    <row r="149" spans="1:80" x14ac:dyDescent="0.25">
      <c r="A149" s="302">
        <v>389</v>
      </c>
      <c r="B149" s="412">
        <v>389</v>
      </c>
      <c r="C149" s="302" t="s">
        <v>196</v>
      </c>
      <c r="D149" s="302">
        <v>0</v>
      </c>
      <c r="E149" s="413">
        <v>0</v>
      </c>
      <c r="F149" s="413">
        <v>0</v>
      </c>
      <c r="G149" s="413">
        <v>0</v>
      </c>
      <c r="H149" s="413">
        <v>0</v>
      </c>
      <c r="I149" s="413">
        <v>0</v>
      </c>
      <c r="J149" s="413">
        <v>0</v>
      </c>
      <c r="K149" s="413">
        <v>0</v>
      </c>
      <c r="L149" s="413">
        <v>0</v>
      </c>
      <c r="M149" s="413">
        <v>0</v>
      </c>
      <c r="N149" s="413">
        <v>0</v>
      </c>
      <c r="O149" s="413">
        <v>0</v>
      </c>
      <c r="P149" s="413">
        <v>0</v>
      </c>
      <c r="Q149" s="413">
        <v>0</v>
      </c>
      <c r="R149" s="413">
        <v>0</v>
      </c>
      <c r="S149" s="413">
        <v>0</v>
      </c>
      <c r="T149" s="413">
        <v>0</v>
      </c>
      <c r="U149" s="413">
        <v>0</v>
      </c>
      <c r="V149" s="413">
        <v>0</v>
      </c>
      <c r="W149" s="413">
        <v>0</v>
      </c>
      <c r="X149" s="413">
        <v>0</v>
      </c>
      <c r="Y149" s="413">
        <v>0</v>
      </c>
      <c r="Z149" s="413">
        <v>0</v>
      </c>
      <c r="AA149" s="413">
        <v>0</v>
      </c>
      <c r="AB149" s="413">
        <v>0</v>
      </c>
      <c r="AC149" s="413">
        <v>0</v>
      </c>
      <c r="AD149" s="413">
        <v>0</v>
      </c>
      <c r="AE149" s="413">
        <v>0</v>
      </c>
      <c r="AF149" s="413">
        <v>0</v>
      </c>
      <c r="AG149" s="413">
        <v>0</v>
      </c>
      <c r="AH149" s="413">
        <v>0</v>
      </c>
      <c r="AI149" s="413">
        <v>0</v>
      </c>
      <c r="AJ149" s="413">
        <v>0</v>
      </c>
      <c r="AK149" s="413">
        <v>-146801453</v>
      </c>
      <c r="AL149" s="413">
        <v>0</v>
      </c>
      <c r="AM149" s="413">
        <v>0</v>
      </c>
      <c r="AN149" s="413">
        <v>0</v>
      </c>
      <c r="AO149" s="413">
        <v>0</v>
      </c>
      <c r="AP149" s="413">
        <v>0</v>
      </c>
      <c r="AQ149" s="413">
        <v>0</v>
      </c>
      <c r="AR149" s="413">
        <v>0</v>
      </c>
      <c r="AS149" s="413">
        <v>0</v>
      </c>
      <c r="AT149" s="413">
        <v>0</v>
      </c>
      <c r="AU149" s="413"/>
      <c r="AV149" s="413"/>
      <c r="AW149" s="413"/>
      <c r="AX149" s="413"/>
      <c r="AY149" s="413"/>
      <c r="AZ149" s="413"/>
      <c r="BA149" s="413"/>
      <c r="BB149" s="413"/>
      <c r="BC149" s="413"/>
      <c r="BD149" s="413"/>
      <c r="BE149" s="413"/>
      <c r="BF149" s="413"/>
      <c r="BG149" s="413"/>
      <c r="BH149" s="413"/>
      <c r="BI149" s="413"/>
      <c r="BJ149" s="413"/>
      <c r="BK149" s="413"/>
      <c r="BL149" s="413"/>
      <c r="BM149" s="413"/>
      <c r="BN149" s="413"/>
      <c r="BO149" s="413"/>
      <c r="BP149" s="413"/>
      <c r="BQ149" s="413"/>
      <c r="BR149" s="413"/>
      <c r="BS149" s="413"/>
      <c r="BT149" s="413"/>
      <c r="BU149" s="413"/>
      <c r="BV149" s="413"/>
      <c r="BW149" s="413"/>
      <c r="BX149" s="413"/>
      <c r="BY149" s="413"/>
      <c r="BZ149" s="413"/>
      <c r="CA149" s="413"/>
      <c r="CB149" s="413"/>
    </row>
    <row r="150" spans="1:80" x14ac:dyDescent="0.25">
      <c r="A150" s="302">
        <v>391</v>
      </c>
      <c r="B150" s="412">
        <v>391</v>
      </c>
      <c r="C150" s="302" t="s">
        <v>201</v>
      </c>
      <c r="D150" s="302">
        <v>0</v>
      </c>
      <c r="E150" s="413">
        <v>0</v>
      </c>
      <c r="F150" s="413">
        <v>523259</v>
      </c>
      <c r="G150" s="413">
        <v>0</v>
      </c>
      <c r="H150" s="413">
        <v>0</v>
      </c>
      <c r="I150" s="413">
        <v>6202</v>
      </c>
      <c r="J150" s="413">
        <v>28854</v>
      </c>
      <c r="K150" s="413">
        <v>0</v>
      </c>
      <c r="L150" s="413">
        <v>0</v>
      </c>
      <c r="M150" s="413">
        <v>0</v>
      </c>
      <c r="N150" s="413">
        <v>0</v>
      </c>
      <c r="O150" s="413">
        <v>0</v>
      </c>
      <c r="P150" s="413">
        <v>0</v>
      </c>
      <c r="Q150" s="413">
        <v>0</v>
      </c>
      <c r="R150" s="413">
        <v>0</v>
      </c>
      <c r="S150" s="413">
        <v>0</v>
      </c>
      <c r="T150" s="413">
        <v>30</v>
      </c>
      <c r="U150" s="413">
        <v>619662</v>
      </c>
      <c r="V150" s="413">
        <v>0</v>
      </c>
      <c r="W150" s="413">
        <v>0</v>
      </c>
      <c r="X150" s="413">
        <v>0</v>
      </c>
      <c r="Y150" s="413">
        <v>16450</v>
      </c>
      <c r="Z150" s="413">
        <v>187250</v>
      </c>
      <c r="AA150" s="413">
        <v>0</v>
      </c>
      <c r="AB150" s="413">
        <v>0</v>
      </c>
      <c r="AC150" s="413">
        <v>506</v>
      </c>
      <c r="AD150" s="413">
        <v>0</v>
      </c>
      <c r="AE150" s="413">
        <v>12848845</v>
      </c>
      <c r="AF150" s="413">
        <v>0</v>
      </c>
      <c r="AG150" s="413">
        <v>0</v>
      </c>
      <c r="AH150" s="413">
        <v>0</v>
      </c>
      <c r="AI150" s="413">
        <v>2520961</v>
      </c>
      <c r="AJ150" s="413">
        <v>10628</v>
      </c>
      <c r="AK150" s="413">
        <v>28421731</v>
      </c>
      <c r="AL150" s="413">
        <v>2053</v>
      </c>
      <c r="AM150" s="413">
        <v>0</v>
      </c>
      <c r="AN150" s="413">
        <v>24465</v>
      </c>
      <c r="AO150" s="413">
        <v>1766</v>
      </c>
      <c r="AP150" s="413">
        <v>1993</v>
      </c>
      <c r="AQ150" s="413">
        <v>611770</v>
      </c>
      <c r="AR150" s="413">
        <v>0</v>
      </c>
      <c r="AS150" s="413">
        <v>0</v>
      </c>
      <c r="AT150" s="413">
        <v>8000</v>
      </c>
      <c r="AU150" s="413"/>
      <c r="AV150" s="413"/>
      <c r="AW150" s="413"/>
      <c r="AX150" s="413"/>
      <c r="AY150" s="413"/>
      <c r="AZ150" s="413"/>
      <c r="BA150" s="413"/>
      <c r="BB150" s="413"/>
      <c r="BC150" s="413"/>
      <c r="BD150" s="413"/>
      <c r="BE150" s="413"/>
      <c r="BF150" s="413"/>
      <c r="BG150" s="413"/>
      <c r="BH150" s="413"/>
      <c r="BI150" s="413"/>
      <c r="BJ150" s="413"/>
      <c r="BK150" s="413"/>
      <c r="BL150" s="413"/>
      <c r="BM150" s="413"/>
      <c r="BN150" s="413"/>
      <c r="BO150" s="413"/>
      <c r="BP150" s="413"/>
      <c r="BQ150" s="413"/>
      <c r="BR150" s="413"/>
      <c r="BS150" s="413"/>
      <c r="BT150" s="413"/>
      <c r="BU150" s="413"/>
      <c r="BV150" s="413"/>
      <c r="BW150" s="413"/>
      <c r="BX150" s="413"/>
      <c r="BY150" s="413"/>
      <c r="BZ150" s="413"/>
      <c r="CA150" s="413"/>
      <c r="CB150" s="413"/>
    </row>
    <row r="151" spans="1:80" x14ac:dyDescent="0.25">
      <c r="A151" s="302">
        <v>500</v>
      </c>
      <c r="B151" s="412">
        <v>500</v>
      </c>
      <c r="C151" s="302" t="s">
        <v>183</v>
      </c>
      <c r="D151" s="302">
        <v>0</v>
      </c>
      <c r="E151" s="413">
        <v>0</v>
      </c>
      <c r="F151" s="413">
        <v>0</v>
      </c>
      <c r="G151" s="413">
        <v>0</v>
      </c>
      <c r="H151" s="413">
        <v>0</v>
      </c>
      <c r="I151" s="413">
        <v>2725</v>
      </c>
      <c r="J151" s="413">
        <v>0</v>
      </c>
      <c r="K151" s="413">
        <v>0</v>
      </c>
      <c r="L151" s="413">
        <v>0</v>
      </c>
      <c r="M151" s="413">
        <v>0</v>
      </c>
      <c r="N151" s="413">
        <v>0</v>
      </c>
      <c r="O151" s="413">
        <v>0</v>
      </c>
      <c r="P151" s="413">
        <v>0</v>
      </c>
      <c r="Q151" s="413">
        <v>0</v>
      </c>
      <c r="R151" s="413">
        <v>0</v>
      </c>
      <c r="S151" s="413">
        <v>16628</v>
      </c>
      <c r="T151" s="413">
        <v>0</v>
      </c>
      <c r="U151" s="413">
        <v>0</v>
      </c>
      <c r="V151" s="413">
        <v>0</v>
      </c>
      <c r="W151" s="413">
        <v>0</v>
      </c>
      <c r="X151" s="413">
        <v>0</v>
      </c>
      <c r="Y151" s="413">
        <v>0</v>
      </c>
      <c r="Z151" s="413">
        <v>0</v>
      </c>
      <c r="AA151" s="413">
        <v>0</v>
      </c>
      <c r="AB151" s="413">
        <v>0</v>
      </c>
      <c r="AC151" s="413">
        <v>0</v>
      </c>
      <c r="AD151" s="413">
        <v>0</v>
      </c>
      <c r="AE151" s="413">
        <v>0</v>
      </c>
      <c r="AF151" s="413">
        <v>0</v>
      </c>
      <c r="AG151" s="413">
        <v>0</v>
      </c>
      <c r="AH151" s="413">
        <v>0</v>
      </c>
      <c r="AI151" s="413">
        <v>1115307</v>
      </c>
      <c r="AJ151" s="413">
        <v>1755986</v>
      </c>
      <c r="AK151" s="413">
        <v>6006985</v>
      </c>
      <c r="AL151" s="413">
        <v>0</v>
      </c>
      <c r="AM151" s="413">
        <v>20694</v>
      </c>
      <c r="AN151" s="413">
        <v>100000</v>
      </c>
      <c r="AO151" s="413">
        <v>0</v>
      </c>
      <c r="AP151" s="413">
        <v>0</v>
      </c>
      <c r="AQ151" s="413">
        <v>0</v>
      </c>
      <c r="AR151" s="413">
        <v>0</v>
      </c>
      <c r="AS151" s="413">
        <v>0</v>
      </c>
      <c r="AT151" s="413">
        <v>18887</v>
      </c>
      <c r="AU151" s="413"/>
      <c r="AV151" s="413"/>
      <c r="AW151" s="413"/>
      <c r="AX151" s="413"/>
      <c r="AY151" s="413"/>
      <c r="AZ151" s="413"/>
      <c r="BA151" s="413"/>
      <c r="BB151" s="413"/>
      <c r="BC151" s="413"/>
      <c r="BD151" s="413"/>
      <c r="BE151" s="413"/>
      <c r="BF151" s="413"/>
      <c r="BG151" s="413"/>
      <c r="BH151" s="413"/>
      <c r="BI151" s="413"/>
      <c r="BJ151" s="413"/>
      <c r="BK151" s="413"/>
      <c r="BL151" s="413"/>
      <c r="BM151" s="413"/>
      <c r="BN151" s="413"/>
      <c r="BO151" s="413"/>
      <c r="BP151" s="413"/>
      <c r="BQ151" s="413"/>
      <c r="BR151" s="413"/>
      <c r="BS151" s="413"/>
      <c r="BT151" s="413"/>
      <c r="BU151" s="413"/>
      <c r="BV151" s="413"/>
      <c r="BW151" s="413"/>
      <c r="BX151" s="413"/>
      <c r="BY151" s="413"/>
      <c r="BZ151" s="413"/>
      <c r="CA151" s="413"/>
      <c r="CB151" s="413"/>
    </row>
    <row r="152" spans="1:80" x14ac:dyDescent="0.25">
      <c r="B152" s="412">
        <v>501</v>
      </c>
      <c r="C152" s="302" t="s">
        <v>185</v>
      </c>
      <c r="D152" s="302">
        <v>0</v>
      </c>
      <c r="E152" s="413">
        <v>0</v>
      </c>
      <c r="F152" s="413">
        <v>0</v>
      </c>
      <c r="G152" s="413">
        <v>0</v>
      </c>
      <c r="H152" s="413">
        <v>0</v>
      </c>
      <c r="I152" s="413">
        <v>0</v>
      </c>
      <c r="J152" s="413">
        <v>0</v>
      </c>
      <c r="K152" s="413">
        <v>0</v>
      </c>
      <c r="L152" s="413">
        <v>0</v>
      </c>
      <c r="M152" s="413">
        <v>0</v>
      </c>
      <c r="N152" s="413">
        <v>0</v>
      </c>
      <c r="O152" s="413">
        <v>0</v>
      </c>
      <c r="P152" s="413">
        <v>0</v>
      </c>
      <c r="Q152" s="413">
        <v>0</v>
      </c>
      <c r="R152" s="413">
        <v>0</v>
      </c>
      <c r="S152" s="413">
        <v>0</v>
      </c>
      <c r="T152" s="413">
        <v>0</v>
      </c>
      <c r="U152" s="413">
        <v>0</v>
      </c>
      <c r="V152" s="413">
        <v>0</v>
      </c>
      <c r="W152" s="413">
        <v>0</v>
      </c>
      <c r="X152" s="413">
        <v>0</v>
      </c>
      <c r="Y152" s="413">
        <v>0</v>
      </c>
      <c r="Z152" s="413">
        <v>0</v>
      </c>
      <c r="AA152" s="413">
        <v>0</v>
      </c>
      <c r="AB152" s="413">
        <v>0</v>
      </c>
      <c r="AC152" s="413">
        <v>0</v>
      </c>
      <c r="AD152" s="413">
        <v>0</v>
      </c>
      <c r="AE152" s="413">
        <v>0</v>
      </c>
      <c r="AF152" s="413">
        <v>0</v>
      </c>
      <c r="AG152" s="413">
        <v>0</v>
      </c>
      <c r="AH152" s="413">
        <v>0</v>
      </c>
      <c r="AI152" s="413">
        <v>0</v>
      </c>
      <c r="AJ152" s="413">
        <v>0</v>
      </c>
      <c r="AK152" s="413">
        <v>0</v>
      </c>
      <c r="AL152" s="413">
        <v>0</v>
      </c>
      <c r="AM152" s="413">
        <v>0</v>
      </c>
      <c r="AN152" s="413">
        <v>0</v>
      </c>
      <c r="AO152" s="413">
        <v>0</v>
      </c>
      <c r="AP152" s="413">
        <v>0</v>
      </c>
      <c r="AQ152" s="413">
        <v>0</v>
      </c>
      <c r="AR152" s="413">
        <v>0</v>
      </c>
      <c r="AS152" s="413">
        <v>0</v>
      </c>
      <c r="AT152" s="413">
        <v>0</v>
      </c>
      <c r="AU152" s="413"/>
      <c r="AV152" s="413"/>
      <c r="AW152" s="413"/>
      <c r="AX152" s="413"/>
      <c r="AY152" s="413"/>
      <c r="AZ152" s="413"/>
      <c r="BA152" s="413"/>
      <c r="BB152" s="413"/>
      <c r="BC152" s="413"/>
      <c r="BD152" s="413"/>
      <c r="BE152" s="413"/>
      <c r="BF152" s="413"/>
      <c r="BG152" s="413"/>
      <c r="BH152" s="413"/>
      <c r="BI152" s="413"/>
      <c r="BJ152" s="413"/>
      <c r="BK152" s="413"/>
      <c r="BL152" s="413"/>
      <c r="BM152" s="413"/>
      <c r="BN152" s="413"/>
      <c r="BO152" s="413"/>
      <c r="BP152" s="413"/>
      <c r="BQ152" s="413"/>
      <c r="BR152" s="413"/>
      <c r="BS152" s="413"/>
      <c r="BT152" s="413"/>
      <c r="BU152" s="413"/>
      <c r="BV152" s="413"/>
      <c r="BW152" s="413"/>
      <c r="BX152" s="413"/>
      <c r="BY152" s="413"/>
      <c r="BZ152" s="413"/>
      <c r="CA152" s="413"/>
      <c r="CB152" s="413"/>
    </row>
    <row r="153" spans="1:80" x14ac:dyDescent="0.25">
      <c r="A153" s="302">
        <v>502</v>
      </c>
      <c r="B153" s="412">
        <v>502</v>
      </c>
      <c r="C153" s="302" t="s">
        <v>186</v>
      </c>
      <c r="D153" s="302">
        <v>273514</v>
      </c>
      <c r="E153" s="413">
        <v>3018712</v>
      </c>
      <c r="F153" s="413">
        <v>0</v>
      </c>
      <c r="G153" s="413">
        <v>3392146</v>
      </c>
      <c r="H153" s="413">
        <v>36594</v>
      </c>
      <c r="I153" s="413">
        <v>0</v>
      </c>
      <c r="J153" s="413">
        <v>0</v>
      </c>
      <c r="K153" s="413">
        <v>975277</v>
      </c>
      <c r="L153" s="413">
        <v>140958</v>
      </c>
      <c r="M153" s="413">
        <v>3920786</v>
      </c>
      <c r="N153" s="413">
        <v>1123941</v>
      </c>
      <c r="O153" s="413">
        <v>74789</v>
      </c>
      <c r="P153" s="413">
        <v>10735708</v>
      </c>
      <c r="Q153" s="413">
        <v>0</v>
      </c>
      <c r="R153" s="413">
        <v>0</v>
      </c>
      <c r="S153" s="413">
        <v>0</v>
      </c>
      <c r="T153" s="413">
        <v>0</v>
      </c>
      <c r="U153" s="413">
        <v>0</v>
      </c>
      <c r="V153" s="413">
        <v>1994241</v>
      </c>
      <c r="W153" s="413">
        <v>0</v>
      </c>
      <c r="X153" s="413">
        <v>923951</v>
      </c>
      <c r="Y153" s="413">
        <v>0</v>
      </c>
      <c r="Z153" s="413">
        <v>0</v>
      </c>
      <c r="AA153" s="413">
        <v>470034</v>
      </c>
      <c r="AB153" s="413">
        <v>0</v>
      </c>
      <c r="AC153" s="413">
        <v>0</v>
      </c>
      <c r="AD153" s="413">
        <v>0</v>
      </c>
      <c r="AE153" s="413">
        <v>0</v>
      </c>
      <c r="AF153" s="413">
        <v>0</v>
      </c>
      <c r="AG153" s="413">
        <v>0</v>
      </c>
      <c r="AH153" s="413">
        <v>802456</v>
      </c>
      <c r="AI153" s="413">
        <v>474964</v>
      </c>
      <c r="AJ153" s="413">
        <v>0</v>
      </c>
      <c r="AK153" s="413">
        <v>1425649</v>
      </c>
      <c r="AL153" s="413">
        <v>0</v>
      </c>
      <c r="AM153" s="413">
        <v>0</v>
      </c>
      <c r="AN153" s="413">
        <v>0</v>
      </c>
      <c r="AO153" s="413">
        <v>0</v>
      </c>
      <c r="AP153" s="413">
        <v>0</v>
      </c>
      <c r="AQ153" s="413">
        <v>0</v>
      </c>
      <c r="AR153" s="413">
        <v>1540104</v>
      </c>
      <c r="AS153" s="413">
        <v>36384</v>
      </c>
      <c r="AT153" s="413">
        <v>0</v>
      </c>
      <c r="AU153" s="413"/>
      <c r="AV153" s="413"/>
      <c r="AW153" s="413"/>
      <c r="AX153" s="413"/>
      <c r="AY153" s="413"/>
      <c r="AZ153" s="413"/>
      <c r="BA153" s="413"/>
      <c r="BB153" s="413"/>
      <c r="BC153" s="413"/>
      <c r="BD153" s="413"/>
      <c r="BE153" s="413"/>
      <c r="BF153" s="413"/>
      <c r="BG153" s="413"/>
      <c r="BH153" s="413"/>
      <c r="BI153" s="413"/>
      <c r="BJ153" s="413"/>
      <c r="BK153" s="413"/>
      <c r="BL153" s="413"/>
      <c r="BM153" s="413"/>
      <c r="BN153" s="413"/>
      <c r="BO153" s="413"/>
      <c r="BP153" s="413"/>
      <c r="BQ153" s="413"/>
      <c r="BR153" s="413"/>
      <c r="BS153" s="413"/>
      <c r="BT153" s="413"/>
      <c r="BU153" s="413"/>
      <c r="BV153" s="413"/>
      <c r="BW153" s="413"/>
      <c r="BX153" s="413"/>
      <c r="BY153" s="413"/>
      <c r="BZ153" s="413"/>
      <c r="CA153" s="413"/>
      <c r="CB153" s="413"/>
    </row>
    <row r="154" spans="1:80" x14ac:dyDescent="0.25">
      <c r="A154" s="302">
        <v>503</v>
      </c>
      <c r="B154" s="412">
        <v>503</v>
      </c>
      <c r="C154" s="302" t="s">
        <v>187</v>
      </c>
      <c r="D154" s="302">
        <v>0</v>
      </c>
      <c r="E154" s="413">
        <v>0</v>
      </c>
      <c r="F154" s="413">
        <v>0</v>
      </c>
      <c r="G154" s="413">
        <v>0</v>
      </c>
      <c r="H154" s="413">
        <v>0</v>
      </c>
      <c r="I154" s="413">
        <v>0</v>
      </c>
      <c r="J154" s="413">
        <v>0</v>
      </c>
      <c r="K154" s="413">
        <v>0</v>
      </c>
      <c r="L154" s="413">
        <v>0</v>
      </c>
      <c r="M154" s="413">
        <v>22549107</v>
      </c>
      <c r="N154" s="413">
        <v>0</v>
      </c>
      <c r="O154" s="413">
        <v>0</v>
      </c>
      <c r="P154" s="413">
        <v>0</v>
      </c>
      <c r="Q154" s="413">
        <v>0</v>
      </c>
      <c r="R154" s="413">
        <v>0</v>
      </c>
      <c r="S154" s="413">
        <v>0</v>
      </c>
      <c r="T154" s="413">
        <v>0</v>
      </c>
      <c r="U154" s="413">
        <v>0</v>
      </c>
      <c r="V154" s="413">
        <v>0</v>
      </c>
      <c r="W154" s="413">
        <v>0</v>
      </c>
      <c r="X154" s="413">
        <v>0</v>
      </c>
      <c r="Y154" s="413">
        <v>0</v>
      </c>
      <c r="Z154" s="413">
        <v>0</v>
      </c>
      <c r="AA154" s="413">
        <v>211347</v>
      </c>
      <c r="AB154" s="413">
        <v>0</v>
      </c>
      <c r="AC154" s="413">
        <v>0</v>
      </c>
      <c r="AD154" s="413">
        <v>0</v>
      </c>
      <c r="AE154" s="413">
        <v>0</v>
      </c>
      <c r="AF154" s="413">
        <v>0</v>
      </c>
      <c r="AG154" s="413">
        <v>0</v>
      </c>
      <c r="AH154" s="413">
        <v>0</v>
      </c>
      <c r="AI154" s="413">
        <v>15153</v>
      </c>
      <c r="AJ154" s="413">
        <v>0</v>
      </c>
      <c r="AK154" s="413">
        <v>0</v>
      </c>
      <c r="AL154" s="413">
        <v>0</v>
      </c>
      <c r="AM154" s="413">
        <v>0</v>
      </c>
      <c r="AN154" s="413">
        <v>0</v>
      </c>
      <c r="AO154" s="413">
        <v>0</v>
      </c>
      <c r="AP154" s="413">
        <v>0</v>
      </c>
      <c r="AQ154" s="413">
        <v>0</v>
      </c>
      <c r="AR154" s="413">
        <v>0</v>
      </c>
      <c r="AS154" s="413">
        <v>0</v>
      </c>
      <c r="AT154" s="413">
        <v>0</v>
      </c>
      <c r="AU154" s="413"/>
      <c r="AV154" s="413"/>
      <c r="AW154" s="413"/>
      <c r="AX154" s="413"/>
      <c r="AY154" s="413"/>
      <c r="AZ154" s="413"/>
      <c r="BA154" s="413"/>
      <c r="BB154" s="413"/>
      <c r="BC154" s="413"/>
      <c r="BD154" s="413"/>
      <c r="BE154" s="413"/>
      <c r="BF154" s="413"/>
      <c r="BG154" s="413"/>
      <c r="BH154" s="413"/>
      <c r="BI154" s="413"/>
      <c r="BJ154" s="413"/>
      <c r="BK154" s="413"/>
      <c r="BL154" s="413"/>
      <c r="BM154" s="413"/>
      <c r="BN154" s="413"/>
      <c r="BO154" s="413"/>
      <c r="BP154" s="413"/>
      <c r="BQ154" s="413"/>
      <c r="BR154" s="413"/>
      <c r="BS154" s="413"/>
      <c r="BT154" s="413"/>
      <c r="BU154" s="413"/>
      <c r="BV154" s="413"/>
      <c r="BW154" s="413"/>
      <c r="BX154" s="413"/>
      <c r="BY154" s="413"/>
      <c r="BZ154" s="413"/>
      <c r="CA154" s="413"/>
      <c r="CB154" s="413"/>
    </row>
    <row r="155" spans="1:80" x14ac:dyDescent="0.25">
      <c r="A155" s="302">
        <v>504</v>
      </c>
      <c r="B155" s="412">
        <v>504</v>
      </c>
      <c r="C155" s="302" t="s">
        <v>191</v>
      </c>
      <c r="D155" s="302">
        <v>0</v>
      </c>
      <c r="E155" s="413">
        <v>0</v>
      </c>
      <c r="F155" s="413">
        <v>0</v>
      </c>
      <c r="G155" s="413">
        <v>0</v>
      </c>
      <c r="H155" s="413">
        <v>0</v>
      </c>
      <c r="I155" s="413">
        <v>6720</v>
      </c>
      <c r="J155" s="413">
        <v>0</v>
      </c>
      <c r="K155" s="413">
        <v>0</v>
      </c>
      <c r="L155" s="413">
        <v>0</v>
      </c>
      <c r="M155" s="413">
        <v>0</v>
      </c>
      <c r="N155" s="413">
        <v>0</v>
      </c>
      <c r="O155" s="413">
        <v>0</v>
      </c>
      <c r="P155" s="413">
        <v>0</v>
      </c>
      <c r="Q155" s="413">
        <v>0</v>
      </c>
      <c r="R155" s="413">
        <v>0</v>
      </c>
      <c r="S155" s="413">
        <v>0</v>
      </c>
      <c r="T155" s="413">
        <v>0</v>
      </c>
      <c r="U155" s="413">
        <v>0</v>
      </c>
      <c r="V155" s="413">
        <v>0</v>
      </c>
      <c r="W155" s="413">
        <v>210413</v>
      </c>
      <c r="X155" s="413">
        <v>0</v>
      </c>
      <c r="Y155" s="413">
        <v>0</v>
      </c>
      <c r="Z155" s="413">
        <v>0</v>
      </c>
      <c r="AA155" s="413">
        <v>0</v>
      </c>
      <c r="AB155" s="413">
        <v>0</v>
      </c>
      <c r="AC155" s="413">
        <v>0</v>
      </c>
      <c r="AD155" s="413">
        <v>0</v>
      </c>
      <c r="AE155" s="413">
        <v>0</v>
      </c>
      <c r="AF155" s="413">
        <v>0</v>
      </c>
      <c r="AG155" s="413">
        <v>0</v>
      </c>
      <c r="AH155" s="413">
        <v>0</v>
      </c>
      <c r="AI155" s="413">
        <v>4209531</v>
      </c>
      <c r="AJ155" s="413">
        <v>250000</v>
      </c>
      <c r="AK155" s="413">
        <v>89070</v>
      </c>
      <c r="AL155" s="413">
        <v>534</v>
      </c>
      <c r="AM155" s="413">
        <v>26539</v>
      </c>
      <c r="AN155" s="413">
        <v>0</v>
      </c>
      <c r="AO155" s="413">
        <v>1640</v>
      </c>
      <c r="AP155" s="413">
        <v>2579</v>
      </c>
      <c r="AQ155" s="413">
        <v>12725</v>
      </c>
      <c r="AR155" s="413">
        <v>0</v>
      </c>
      <c r="AS155" s="413">
        <v>0</v>
      </c>
      <c r="AT155" s="413">
        <v>81096</v>
      </c>
      <c r="AU155" s="413"/>
      <c r="AV155" s="413"/>
      <c r="AW155" s="413"/>
      <c r="AX155" s="413"/>
      <c r="AY155" s="413"/>
      <c r="AZ155" s="413"/>
      <c r="BA155" s="413"/>
      <c r="BB155" s="413"/>
      <c r="BC155" s="413"/>
      <c r="BD155" s="413"/>
      <c r="BE155" s="413"/>
      <c r="BF155" s="413"/>
      <c r="BG155" s="413"/>
      <c r="BH155" s="413"/>
      <c r="BI155" s="413"/>
      <c r="BJ155" s="413"/>
      <c r="BK155" s="413"/>
      <c r="BL155" s="413"/>
      <c r="BM155" s="413"/>
      <c r="BN155" s="413"/>
      <c r="BO155" s="413"/>
      <c r="BP155" s="413"/>
      <c r="BQ155" s="413"/>
      <c r="BR155" s="413"/>
      <c r="BS155" s="413"/>
      <c r="BT155" s="413"/>
      <c r="BU155" s="413"/>
      <c r="BV155" s="413"/>
      <c r="BW155" s="413"/>
      <c r="BX155" s="413"/>
      <c r="BY155" s="413"/>
      <c r="BZ155" s="413"/>
      <c r="CA155" s="413"/>
      <c r="CB155" s="413"/>
    </row>
    <row r="156" spans="1:80" x14ac:dyDescent="0.25">
      <c r="A156" s="302">
        <v>505</v>
      </c>
      <c r="B156" s="412">
        <v>505</v>
      </c>
      <c r="C156" s="302" t="s">
        <v>192</v>
      </c>
      <c r="D156" s="302">
        <v>0</v>
      </c>
      <c r="E156" s="413">
        <v>0</v>
      </c>
      <c r="F156" s="413">
        <v>0</v>
      </c>
      <c r="G156" s="413">
        <v>0</v>
      </c>
      <c r="H156" s="413">
        <v>0</v>
      </c>
      <c r="I156" s="413">
        <v>0</v>
      </c>
      <c r="J156" s="413">
        <v>0</v>
      </c>
      <c r="K156" s="413">
        <v>0</v>
      </c>
      <c r="L156" s="413">
        <v>0</v>
      </c>
      <c r="M156" s="413">
        <v>0</v>
      </c>
      <c r="N156" s="413">
        <v>0</v>
      </c>
      <c r="O156" s="413">
        <v>0</v>
      </c>
      <c r="P156" s="413">
        <v>0</v>
      </c>
      <c r="Q156" s="413">
        <v>0</v>
      </c>
      <c r="R156" s="413">
        <v>0</v>
      </c>
      <c r="S156" s="413">
        <v>0</v>
      </c>
      <c r="T156" s="413">
        <v>0</v>
      </c>
      <c r="U156" s="413">
        <v>527427</v>
      </c>
      <c r="V156" s="413">
        <v>0</v>
      </c>
      <c r="W156" s="413">
        <v>0</v>
      </c>
      <c r="X156" s="413">
        <v>0</v>
      </c>
      <c r="Y156" s="413">
        <v>0</v>
      </c>
      <c r="Z156" s="413">
        <v>0</v>
      </c>
      <c r="AA156" s="413">
        <v>0</v>
      </c>
      <c r="AB156" s="413">
        <v>0</v>
      </c>
      <c r="AC156" s="413">
        <v>0</v>
      </c>
      <c r="AD156" s="413">
        <v>0</v>
      </c>
      <c r="AE156" s="413">
        <v>1962901</v>
      </c>
      <c r="AF156" s="413">
        <v>0</v>
      </c>
      <c r="AG156" s="413">
        <v>0</v>
      </c>
      <c r="AH156" s="413">
        <v>0</v>
      </c>
      <c r="AI156" s="413">
        <v>380730</v>
      </c>
      <c r="AJ156" s="413">
        <v>0</v>
      </c>
      <c r="AK156" s="413">
        <v>87427</v>
      </c>
      <c r="AL156" s="413">
        <v>0</v>
      </c>
      <c r="AM156" s="413">
        <v>13387</v>
      </c>
      <c r="AN156" s="413">
        <v>0</v>
      </c>
      <c r="AO156" s="413">
        <v>0</v>
      </c>
      <c r="AP156" s="413">
        <v>0</v>
      </c>
      <c r="AQ156" s="413">
        <v>0</v>
      </c>
      <c r="AR156" s="413">
        <v>0</v>
      </c>
      <c r="AS156" s="413">
        <v>0</v>
      </c>
      <c r="AT156" s="413">
        <v>0</v>
      </c>
      <c r="AU156" s="413"/>
      <c r="AV156" s="413"/>
      <c r="AW156" s="413"/>
      <c r="AX156" s="413"/>
      <c r="AY156" s="413"/>
      <c r="AZ156" s="413"/>
      <c r="BA156" s="413"/>
      <c r="BB156" s="413"/>
      <c r="BC156" s="413"/>
      <c r="BD156" s="413"/>
      <c r="BE156" s="413"/>
      <c r="BF156" s="413"/>
      <c r="BG156" s="413"/>
      <c r="BH156" s="413"/>
      <c r="BI156" s="413"/>
      <c r="BJ156" s="413"/>
      <c r="BK156" s="413"/>
      <c r="BL156" s="413"/>
      <c r="BM156" s="413"/>
      <c r="BN156" s="413"/>
      <c r="BO156" s="413"/>
      <c r="BP156" s="413"/>
      <c r="BQ156" s="413"/>
      <c r="BR156" s="413"/>
      <c r="BS156" s="413"/>
      <c r="BT156" s="413"/>
      <c r="BU156" s="413"/>
      <c r="BV156" s="413"/>
      <c r="BW156" s="413"/>
      <c r="BX156" s="413"/>
      <c r="BY156" s="413"/>
      <c r="BZ156" s="413"/>
      <c r="CA156" s="413"/>
      <c r="CB156" s="413"/>
    </row>
    <row r="157" spans="1:80" x14ac:dyDescent="0.25">
      <c r="A157" s="302">
        <v>506</v>
      </c>
      <c r="B157" s="412">
        <v>506</v>
      </c>
      <c r="C157" s="302" t="s">
        <v>198</v>
      </c>
      <c r="D157" s="302">
        <v>0</v>
      </c>
      <c r="E157" s="413">
        <v>0</v>
      </c>
      <c r="F157" s="413">
        <v>1448275</v>
      </c>
      <c r="G157" s="413">
        <v>0</v>
      </c>
      <c r="H157" s="413">
        <v>0</v>
      </c>
      <c r="I157" s="413">
        <v>214925</v>
      </c>
      <c r="J157" s="413">
        <v>1077884</v>
      </c>
      <c r="K157" s="413">
        <v>0</v>
      </c>
      <c r="L157" s="413">
        <v>0</v>
      </c>
      <c r="M157" s="413">
        <v>0</v>
      </c>
      <c r="N157" s="413">
        <v>0</v>
      </c>
      <c r="O157" s="413">
        <v>0</v>
      </c>
      <c r="P157" s="413">
        <v>0</v>
      </c>
      <c r="Q157" s="413">
        <v>0</v>
      </c>
      <c r="R157" s="413">
        <v>312059</v>
      </c>
      <c r="S157" s="413">
        <v>26564</v>
      </c>
      <c r="T157" s="413">
        <v>129530</v>
      </c>
      <c r="U157" s="413">
        <v>4886552</v>
      </c>
      <c r="V157" s="413">
        <v>0</v>
      </c>
      <c r="W157" s="413">
        <v>90634</v>
      </c>
      <c r="X157" s="413">
        <v>0</v>
      </c>
      <c r="Y157" s="413">
        <v>187198</v>
      </c>
      <c r="Z157" s="413">
        <v>368780</v>
      </c>
      <c r="AA157" s="413">
        <v>0</v>
      </c>
      <c r="AB157" s="413">
        <v>33910</v>
      </c>
      <c r="AC157" s="413">
        <v>145584</v>
      </c>
      <c r="AD157" s="413">
        <v>111791</v>
      </c>
      <c r="AE157" s="413">
        <v>4669301</v>
      </c>
      <c r="AF157" s="413">
        <v>0</v>
      </c>
      <c r="AG157" s="413">
        <v>108380</v>
      </c>
      <c r="AH157" s="413">
        <v>0</v>
      </c>
      <c r="AI157" s="413">
        <v>5216300</v>
      </c>
      <c r="AJ157" s="413">
        <v>1788319</v>
      </c>
      <c r="AK157" s="413">
        <v>14891702</v>
      </c>
      <c r="AL157" s="413">
        <v>1118474</v>
      </c>
      <c r="AM157" s="413">
        <v>363</v>
      </c>
      <c r="AN157" s="413">
        <v>137187</v>
      </c>
      <c r="AO157" s="413">
        <v>27375</v>
      </c>
      <c r="AP157" s="413">
        <v>65973</v>
      </c>
      <c r="AQ157" s="413">
        <v>521877</v>
      </c>
      <c r="AR157" s="413">
        <v>0</v>
      </c>
      <c r="AS157" s="413">
        <v>0</v>
      </c>
      <c r="AT157" s="413">
        <v>155704</v>
      </c>
      <c r="AU157" s="413"/>
      <c r="AV157" s="413"/>
      <c r="AW157" s="413"/>
      <c r="AX157" s="413"/>
      <c r="AY157" s="413"/>
      <c r="AZ157" s="413"/>
      <c r="BA157" s="413"/>
      <c r="BB157" s="413"/>
      <c r="BC157" s="413"/>
      <c r="BD157" s="413"/>
      <c r="BE157" s="413"/>
      <c r="BF157" s="413"/>
      <c r="BG157" s="413"/>
      <c r="BH157" s="413"/>
      <c r="BI157" s="413"/>
      <c r="BJ157" s="413"/>
      <c r="BK157" s="413"/>
      <c r="BL157" s="413"/>
      <c r="BM157" s="413"/>
      <c r="BN157" s="413"/>
      <c r="BO157" s="413"/>
      <c r="BP157" s="413"/>
      <c r="BQ157" s="413"/>
      <c r="BR157" s="413"/>
      <c r="BS157" s="413"/>
      <c r="BT157" s="413"/>
      <c r="BU157" s="413"/>
      <c r="BV157" s="413"/>
      <c r="BW157" s="413"/>
      <c r="BX157" s="413"/>
      <c r="BY157" s="413"/>
      <c r="BZ157" s="413"/>
      <c r="CA157" s="413"/>
      <c r="CB157" s="413"/>
    </row>
    <row r="158" spans="1:80" x14ac:dyDescent="0.25">
      <c r="A158" s="302">
        <v>507</v>
      </c>
      <c r="B158" s="412">
        <v>507</v>
      </c>
      <c r="C158" s="302" t="s">
        <v>216</v>
      </c>
      <c r="D158" s="302">
        <v>0</v>
      </c>
      <c r="E158" s="413">
        <v>0</v>
      </c>
      <c r="F158" s="413">
        <v>0</v>
      </c>
      <c r="G158" s="413">
        <v>0</v>
      </c>
      <c r="H158" s="413">
        <v>0</v>
      </c>
      <c r="I158" s="413">
        <v>0</v>
      </c>
      <c r="J158" s="413">
        <v>0</v>
      </c>
      <c r="K158" s="413">
        <v>0</v>
      </c>
      <c r="L158" s="413">
        <v>0</v>
      </c>
      <c r="M158" s="413">
        <v>0</v>
      </c>
      <c r="N158" s="413">
        <v>0</v>
      </c>
      <c r="O158" s="413">
        <v>0</v>
      </c>
      <c r="P158" s="413">
        <v>0</v>
      </c>
      <c r="Q158" s="413">
        <v>0</v>
      </c>
      <c r="R158" s="413">
        <v>0</v>
      </c>
      <c r="S158" s="413">
        <v>0</v>
      </c>
      <c r="T158" s="413">
        <v>0</v>
      </c>
      <c r="U158" s="413">
        <v>0</v>
      </c>
      <c r="V158" s="413">
        <v>0</v>
      </c>
      <c r="W158" s="413">
        <v>0</v>
      </c>
      <c r="X158" s="413">
        <v>0</v>
      </c>
      <c r="Y158" s="413">
        <v>0</v>
      </c>
      <c r="Z158" s="413">
        <v>0</v>
      </c>
      <c r="AA158" s="413">
        <v>0</v>
      </c>
      <c r="AB158" s="413">
        <v>0</v>
      </c>
      <c r="AC158" s="413">
        <v>0</v>
      </c>
      <c r="AD158" s="413">
        <v>0</v>
      </c>
      <c r="AE158" s="413">
        <v>0</v>
      </c>
      <c r="AF158" s="413">
        <v>0</v>
      </c>
      <c r="AG158" s="413">
        <v>0</v>
      </c>
      <c r="AH158" s="413">
        <v>0</v>
      </c>
      <c r="AI158" s="413">
        <v>0</v>
      </c>
      <c r="AJ158" s="413">
        <v>0</v>
      </c>
      <c r="AK158" s="413">
        <v>2</v>
      </c>
      <c r="AL158" s="413">
        <v>0</v>
      </c>
      <c r="AM158" s="413">
        <v>0</v>
      </c>
      <c r="AN158" s="413">
        <v>0</v>
      </c>
      <c r="AO158" s="413">
        <v>0</v>
      </c>
      <c r="AP158" s="413">
        <v>0</v>
      </c>
      <c r="AQ158" s="413">
        <v>0</v>
      </c>
      <c r="AR158" s="413">
        <v>0</v>
      </c>
      <c r="AS158" s="413">
        <v>0</v>
      </c>
      <c r="AT158" s="413">
        <v>0</v>
      </c>
      <c r="AU158" s="413"/>
      <c r="AV158" s="413"/>
      <c r="AW158" s="413"/>
      <c r="AX158" s="413"/>
      <c r="AY158" s="413"/>
      <c r="AZ158" s="413"/>
      <c r="BA158" s="413"/>
      <c r="BB158" s="413"/>
      <c r="BC158" s="413"/>
      <c r="BD158" s="413"/>
      <c r="BE158" s="413"/>
      <c r="BF158" s="413"/>
      <c r="BG158" s="413"/>
      <c r="BH158" s="413"/>
      <c r="BI158" s="413"/>
      <c r="BJ158" s="413"/>
      <c r="BK158" s="413"/>
      <c r="BL158" s="413"/>
      <c r="BM158" s="413"/>
      <c r="BN158" s="413"/>
      <c r="BO158" s="413"/>
      <c r="BP158" s="413"/>
      <c r="BQ158" s="413"/>
      <c r="BR158" s="413"/>
      <c r="BS158" s="413"/>
      <c r="BT158" s="413"/>
      <c r="BU158" s="413"/>
      <c r="BV158" s="413"/>
      <c r="BW158" s="413"/>
      <c r="BX158" s="413"/>
      <c r="BY158" s="413"/>
      <c r="BZ158" s="413"/>
      <c r="CA158" s="413"/>
      <c r="CB158" s="413"/>
    </row>
    <row r="159" spans="1:80" x14ac:dyDescent="0.25">
      <c r="A159" s="302">
        <v>508</v>
      </c>
      <c r="B159" s="412">
        <v>508</v>
      </c>
      <c r="C159" s="302" t="s">
        <v>213</v>
      </c>
      <c r="D159" s="302">
        <v>0</v>
      </c>
      <c r="E159" s="413">
        <v>0</v>
      </c>
      <c r="F159" s="413">
        <v>0</v>
      </c>
      <c r="G159" s="413">
        <v>0</v>
      </c>
      <c r="H159" s="413">
        <v>0</v>
      </c>
      <c r="I159" s="413">
        <v>0</v>
      </c>
      <c r="J159" s="413">
        <v>0</v>
      </c>
      <c r="K159" s="413">
        <v>0</v>
      </c>
      <c r="L159" s="413">
        <v>0</v>
      </c>
      <c r="M159" s="413">
        <v>0</v>
      </c>
      <c r="N159" s="413">
        <v>0</v>
      </c>
      <c r="O159" s="413">
        <v>0</v>
      </c>
      <c r="P159" s="413">
        <v>0</v>
      </c>
      <c r="Q159" s="413">
        <v>0</v>
      </c>
      <c r="R159" s="413">
        <v>0</v>
      </c>
      <c r="S159" s="413">
        <v>0</v>
      </c>
      <c r="T159" s="413">
        <v>0</v>
      </c>
      <c r="U159" s="413">
        <v>0</v>
      </c>
      <c r="V159" s="413">
        <v>0</v>
      </c>
      <c r="W159" s="413">
        <v>0</v>
      </c>
      <c r="X159" s="413">
        <v>0</v>
      </c>
      <c r="Y159" s="413">
        <v>0</v>
      </c>
      <c r="Z159" s="413">
        <v>0</v>
      </c>
      <c r="AA159" s="413">
        <v>0</v>
      </c>
      <c r="AB159" s="413">
        <v>0</v>
      </c>
      <c r="AC159" s="413">
        <v>0</v>
      </c>
      <c r="AD159" s="413">
        <v>0</v>
      </c>
      <c r="AE159" s="413">
        <v>0</v>
      </c>
      <c r="AF159" s="413">
        <v>0</v>
      </c>
      <c r="AG159" s="413">
        <v>0</v>
      </c>
      <c r="AH159" s="413">
        <v>0</v>
      </c>
      <c r="AI159" s="413">
        <v>0</v>
      </c>
      <c r="AJ159" s="413">
        <v>0</v>
      </c>
      <c r="AK159" s="413">
        <v>0</v>
      </c>
      <c r="AL159" s="413">
        <v>0</v>
      </c>
      <c r="AM159" s="413">
        <v>0</v>
      </c>
      <c r="AN159" s="413">
        <v>0</v>
      </c>
      <c r="AO159" s="413">
        <v>0</v>
      </c>
      <c r="AP159" s="413">
        <v>0</v>
      </c>
      <c r="AQ159" s="413">
        <v>0</v>
      </c>
      <c r="AR159" s="413">
        <v>0</v>
      </c>
      <c r="AS159" s="413">
        <v>0</v>
      </c>
      <c r="AT159" s="413">
        <v>0</v>
      </c>
      <c r="AU159" s="413"/>
      <c r="AV159" s="413"/>
      <c r="AW159" s="413"/>
      <c r="AX159" s="413"/>
      <c r="AY159" s="413"/>
      <c r="AZ159" s="413"/>
      <c r="BA159" s="413"/>
      <c r="BB159" s="413"/>
      <c r="BC159" s="413"/>
      <c r="BD159" s="413"/>
      <c r="BE159" s="413"/>
      <c r="BF159" s="413"/>
      <c r="BG159" s="413"/>
      <c r="BH159" s="413"/>
      <c r="BI159" s="413"/>
      <c r="BJ159" s="413"/>
      <c r="BK159" s="413"/>
      <c r="BL159" s="413"/>
      <c r="BM159" s="413"/>
      <c r="BN159" s="413"/>
      <c r="BO159" s="413"/>
      <c r="BP159" s="413"/>
      <c r="BQ159" s="413"/>
      <c r="BR159" s="413"/>
      <c r="BS159" s="413"/>
      <c r="BT159" s="413"/>
      <c r="BU159" s="413"/>
      <c r="BV159" s="413"/>
      <c r="BW159" s="413"/>
      <c r="BX159" s="413"/>
      <c r="BY159" s="413"/>
      <c r="BZ159" s="413"/>
      <c r="CA159" s="413"/>
      <c r="CB159" s="413"/>
    </row>
    <row r="160" spans="1:80" x14ac:dyDescent="0.25">
      <c r="A160" s="302">
        <v>509</v>
      </c>
      <c r="B160" s="412">
        <v>509</v>
      </c>
      <c r="C160" s="302" t="s">
        <v>214</v>
      </c>
      <c r="D160" s="302">
        <v>0</v>
      </c>
      <c r="E160" s="413">
        <v>0</v>
      </c>
      <c r="F160" s="413">
        <v>0</v>
      </c>
      <c r="G160" s="413">
        <v>0</v>
      </c>
      <c r="H160" s="413">
        <v>0</v>
      </c>
      <c r="I160" s="413">
        <v>0</v>
      </c>
      <c r="J160" s="413">
        <v>0</v>
      </c>
      <c r="K160" s="413">
        <v>0</v>
      </c>
      <c r="L160" s="413">
        <v>0</v>
      </c>
      <c r="M160" s="413">
        <v>0</v>
      </c>
      <c r="N160" s="413">
        <v>0</v>
      </c>
      <c r="O160" s="413">
        <v>0</v>
      </c>
      <c r="P160" s="413">
        <v>0</v>
      </c>
      <c r="Q160" s="413">
        <v>0</v>
      </c>
      <c r="R160" s="413">
        <v>0</v>
      </c>
      <c r="S160" s="413">
        <v>0</v>
      </c>
      <c r="T160" s="413">
        <v>0</v>
      </c>
      <c r="U160" s="413">
        <v>0</v>
      </c>
      <c r="V160" s="413">
        <v>0</v>
      </c>
      <c r="W160" s="413">
        <v>0</v>
      </c>
      <c r="X160" s="413">
        <v>0</v>
      </c>
      <c r="Y160" s="413">
        <v>0</v>
      </c>
      <c r="Z160" s="413">
        <v>0</v>
      </c>
      <c r="AA160" s="413">
        <v>0</v>
      </c>
      <c r="AB160" s="413">
        <v>0</v>
      </c>
      <c r="AC160" s="413">
        <v>0</v>
      </c>
      <c r="AD160" s="413">
        <v>0</v>
      </c>
      <c r="AE160" s="413">
        <v>0</v>
      </c>
      <c r="AF160" s="413">
        <v>0</v>
      </c>
      <c r="AG160" s="413">
        <v>0</v>
      </c>
      <c r="AH160" s="413">
        <v>0</v>
      </c>
      <c r="AI160" s="413">
        <v>0</v>
      </c>
      <c r="AJ160" s="413">
        <v>0</v>
      </c>
      <c r="AK160" s="413">
        <v>0</v>
      </c>
      <c r="AL160" s="413">
        <v>0</v>
      </c>
      <c r="AM160" s="413">
        <v>0</v>
      </c>
      <c r="AN160" s="413">
        <v>0</v>
      </c>
      <c r="AO160" s="413">
        <v>0</v>
      </c>
      <c r="AP160" s="413">
        <v>0</v>
      </c>
      <c r="AQ160" s="413">
        <v>0</v>
      </c>
      <c r="AR160" s="413">
        <v>0</v>
      </c>
      <c r="AS160" s="413">
        <v>0</v>
      </c>
      <c r="AT160" s="413">
        <v>0</v>
      </c>
      <c r="AU160" s="413"/>
      <c r="AV160" s="413"/>
      <c r="AW160" s="413"/>
      <c r="AX160" s="413"/>
      <c r="AY160" s="413"/>
      <c r="AZ160" s="413"/>
      <c r="BA160" s="413"/>
      <c r="BB160" s="413"/>
      <c r="BC160" s="413"/>
      <c r="BD160" s="413"/>
      <c r="BE160" s="413"/>
      <c r="BF160" s="413"/>
      <c r="BG160" s="413"/>
      <c r="BH160" s="413"/>
      <c r="BI160" s="413"/>
      <c r="BJ160" s="413"/>
      <c r="BK160" s="413"/>
      <c r="BL160" s="413"/>
      <c r="BM160" s="413"/>
      <c r="BN160" s="413"/>
      <c r="BO160" s="413"/>
      <c r="BP160" s="413"/>
      <c r="BQ160" s="413"/>
      <c r="BR160" s="413"/>
      <c r="BS160" s="413"/>
      <c r="BT160" s="413"/>
      <c r="BU160" s="413"/>
      <c r="BV160" s="413"/>
      <c r="BW160" s="413"/>
      <c r="BX160" s="413"/>
      <c r="BY160" s="413"/>
      <c r="BZ160" s="413"/>
      <c r="CA160" s="413"/>
      <c r="CB160" s="413"/>
    </row>
    <row r="161" spans="1:80" x14ac:dyDescent="0.25">
      <c r="B161" s="412">
        <v>510</v>
      </c>
      <c r="C161" s="302" t="s">
        <v>220</v>
      </c>
      <c r="D161" s="302">
        <v>0</v>
      </c>
      <c r="E161" s="413">
        <v>0</v>
      </c>
      <c r="F161" s="413">
        <v>0</v>
      </c>
      <c r="G161" s="413">
        <v>0</v>
      </c>
      <c r="H161" s="413">
        <v>0</v>
      </c>
      <c r="I161" s="413">
        <v>0</v>
      </c>
      <c r="J161" s="413">
        <v>0</v>
      </c>
      <c r="K161" s="413">
        <v>0</v>
      </c>
      <c r="L161" s="413">
        <v>0</v>
      </c>
      <c r="M161" s="413">
        <v>0</v>
      </c>
      <c r="N161" s="413">
        <v>0</v>
      </c>
      <c r="O161" s="413">
        <v>0</v>
      </c>
      <c r="P161" s="413">
        <v>0</v>
      </c>
      <c r="Q161" s="413">
        <v>0</v>
      </c>
      <c r="R161" s="413">
        <v>0</v>
      </c>
      <c r="S161" s="413">
        <v>0</v>
      </c>
      <c r="T161" s="413">
        <v>0</v>
      </c>
      <c r="U161" s="413">
        <v>0</v>
      </c>
      <c r="V161" s="413">
        <v>0</v>
      </c>
      <c r="W161" s="413">
        <v>0</v>
      </c>
      <c r="X161" s="413">
        <v>0</v>
      </c>
      <c r="Y161" s="413">
        <v>0</v>
      </c>
      <c r="Z161" s="413">
        <v>0</v>
      </c>
      <c r="AA161" s="413">
        <v>0</v>
      </c>
      <c r="AB161" s="413">
        <v>0</v>
      </c>
      <c r="AC161" s="413">
        <v>0</v>
      </c>
      <c r="AD161" s="413">
        <v>0</v>
      </c>
      <c r="AE161" s="413">
        <v>0</v>
      </c>
      <c r="AF161" s="413">
        <v>0</v>
      </c>
      <c r="AG161" s="413">
        <v>0</v>
      </c>
      <c r="AH161" s="413">
        <v>0</v>
      </c>
      <c r="AI161" s="413">
        <v>0</v>
      </c>
      <c r="AJ161" s="413">
        <v>0</v>
      </c>
      <c r="AK161" s="413">
        <v>0</v>
      </c>
      <c r="AL161" s="413">
        <v>0</v>
      </c>
      <c r="AM161" s="413">
        <v>0</v>
      </c>
      <c r="AN161" s="413">
        <v>0</v>
      </c>
      <c r="AO161" s="413">
        <v>0</v>
      </c>
      <c r="AP161" s="413">
        <v>0</v>
      </c>
      <c r="AQ161" s="413">
        <v>0</v>
      </c>
      <c r="AR161" s="413">
        <v>0</v>
      </c>
      <c r="AS161" s="413">
        <v>0</v>
      </c>
      <c r="AT161" s="413">
        <v>0</v>
      </c>
      <c r="AU161" s="413"/>
      <c r="AV161" s="413"/>
      <c r="AW161" s="413"/>
      <c r="AX161" s="413"/>
      <c r="AY161" s="413"/>
      <c r="AZ161" s="413"/>
      <c r="BA161" s="413"/>
      <c r="BB161" s="413"/>
      <c r="BC161" s="413"/>
      <c r="BD161" s="413"/>
      <c r="BE161" s="413"/>
      <c r="BF161" s="413"/>
      <c r="BG161" s="413"/>
      <c r="BH161" s="413"/>
      <c r="BI161" s="413"/>
      <c r="BJ161" s="413"/>
      <c r="BK161" s="413"/>
      <c r="BL161" s="413"/>
      <c r="BM161" s="413"/>
      <c r="BN161" s="413"/>
      <c r="BO161" s="413"/>
      <c r="BP161" s="413"/>
      <c r="BQ161" s="413"/>
      <c r="BR161" s="413"/>
      <c r="BS161" s="413"/>
      <c r="BT161" s="413"/>
      <c r="BU161" s="413"/>
      <c r="BV161" s="413"/>
      <c r="BW161" s="413"/>
      <c r="BX161" s="413"/>
      <c r="BY161" s="413"/>
      <c r="BZ161" s="413"/>
      <c r="CA161" s="413"/>
      <c r="CB161" s="413"/>
    </row>
    <row r="162" spans="1:80" x14ac:dyDescent="0.25">
      <c r="B162" s="412">
        <v>511</v>
      </c>
      <c r="C162" s="302" t="s">
        <v>225</v>
      </c>
      <c r="D162" s="302">
        <v>0</v>
      </c>
      <c r="E162" s="413">
        <v>0</v>
      </c>
      <c r="F162" s="413">
        <v>0</v>
      </c>
      <c r="G162" s="413">
        <v>0</v>
      </c>
      <c r="H162" s="413">
        <v>0</v>
      </c>
      <c r="I162" s="413">
        <v>0</v>
      </c>
      <c r="J162" s="413">
        <v>0</v>
      </c>
      <c r="K162" s="413">
        <v>0</v>
      </c>
      <c r="L162" s="413">
        <v>0</v>
      </c>
      <c r="M162" s="413">
        <v>0</v>
      </c>
      <c r="N162" s="413">
        <v>0</v>
      </c>
      <c r="O162" s="413">
        <v>0</v>
      </c>
      <c r="P162" s="413">
        <v>0</v>
      </c>
      <c r="Q162" s="413">
        <v>0</v>
      </c>
      <c r="R162" s="413">
        <v>0</v>
      </c>
      <c r="S162" s="413">
        <v>0</v>
      </c>
      <c r="T162" s="413">
        <v>0</v>
      </c>
      <c r="U162" s="413">
        <v>0</v>
      </c>
      <c r="V162" s="413">
        <v>0</v>
      </c>
      <c r="W162" s="413">
        <v>0</v>
      </c>
      <c r="X162" s="413">
        <v>0</v>
      </c>
      <c r="Y162" s="413">
        <v>0</v>
      </c>
      <c r="Z162" s="413">
        <v>0</v>
      </c>
      <c r="AA162" s="413">
        <v>0</v>
      </c>
      <c r="AB162" s="413">
        <v>0</v>
      </c>
      <c r="AC162" s="413">
        <v>0</v>
      </c>
      <c r="AD162" s="413">
        <v>0</v>
      </c>
      <c r="AE162" s="413">
        <v>0</v>
      </c>
      <c r="AF162" s="413">
        <v>0</v>
      </c>
      <c r="AG162" s="413">
        <v>0</v>
      </c>
      <c r="AH162" s="413">
        <v>0</v>
      </c>
      <c r="AI162" s="413">
        <v>0</v>
      </c>
      <c r="AJ162" s="413">
        <v>0</v>
      </c>
      <c r="AK162" s="413">
        <v>0</v>
      </c>
      <c r="AL162" s="413">
        <v>0</v>
      </c>
      <c r="AM162" s="413">
        <v>0</v>
      </c>
      <c r="AN162" s="413">
        <v>0</v>
      </c>
      <c r="AO162" s="413">
        <v>0</v>
      </c>
      <c r="AP162" s="413">
        <v>0</v>
      </c>
      <c r="AQ162" s="413">
        <v>0</v>
      </c>
      <c r="AR162" s="413">
        <v>0</v>
      </c>
      <c r="AS162" s="413">
        <v>0</v>
      </c>
      <c r="AT162" s="413">
        <v>0</v>
      </c>
      <c r="AU162" s="413"/>
      <c r="AV162" s="413"/>
      <c r="AW162" s="413"/>
      <c r="AX162" s="413"/>
      <c r="AY162" s="413"/>
      <c r="AZ162" s="413"/>
      <c r="BA162" s="413"/>
      <c r="BB162" s="413"/>
      <c r="BC162" s="413"/>
      <c r="BD162" s="413"/>
      <c r="BE162" s="413"/>
      <c r="BF162" s="413"/>
      <c r="BG162" s="413"/>
      <c r="BH162" s="413"/>
      <c r="BI162" s="413"/>
      <c r="BJ162" s="413"/>
      <c r="BK162" s="413"/>
      <c r="BL162" s="413"/>
      <c r="BM162" s="413"/>
      <c r="BN162" s="413"/>
      <c r="BO162" s="413"/>
      <c r="BP162" s="413"/>
      <c r="BQ162" s="413"/>
      <c r="BR162" s="413"/>
      <c r="BS162" s="413"/>
      <c r="BT162" s="413"/>
      <c r="BU162" s="413"/>
      <c r="BV162" s="413"/>
      <c r="BW162" s="413"/>
      <c r="BX162" s="413"/>
      <c r="BY162" s="413"/>
      <c r="BZ162" s="413"/>
      <c r="CA162" s="413"/>
      <c r="CB162" s="413"/>
    </row>
    <row r="163" spans="1:80" x14ac:dyDescent="0.25">
      <c r="A163" s="302">
        <v>512</v>
      </c>
      <c r="B163" s="412">
        <v>512</v>
      </c>
      <c r="C163" s="302" t="s">
        <v>252</v>
      </c>
      <c r="D163" s="302">
        <v>0</v>
      </c>
      <c r="E163" s="413">
        <v>0</v>
      </c>
      <c r="F163" s="413">
        <v>0</v>
      </c>
      <c r="G163" s="413">
        <v>0</v>
      </c>
      <c r="H163" s="413">
        <v>0</v>
      </c>
      <c r="I163" s="413">
        <v>0</v>
      </c>
      <c r="J163" s="413">
        <v>0</v>
      </c>
      <c r="K163" s="413">
        <v>0</v>
      </c>
      <c r="L163" s="413">
        <v>0</v>
      </c>
      <c r="M163" s="413">
        <v>0</v>
      </c>
      <c r="N163" s="413">
        <v>0</v>
      </c>
      <c r="O163" s="413">
        <v>0</v>
      </c>
      <c r="P163" s="413">
        <v>0</v>
      </c>
      <c r="Q163" s="413">
        <v>0</v>
      </c>
      <c r="R163" s="413">
        <v>0</v>
      </c>
      <c r="S163" s="413">
        <v>0</v>
      </c>
      <c r="T163" s="413">
        <v>0</v>
      </c>
      <c r="U163" s="413">
        <v>0</v>
      </c>
      <c r="V163" s="413">
        <v>4384858</v>
      </c>
      <c r="W163" s="413">
        <v>0</v>
      </c>
      <c r="X163" s="413">
        <v>0</v>
      </c>
      <c r="Y163" s="413">
        <v>0</v>
      </c>
      <c r="Z163" s="413">
        <v>0</v>
      </c>
      <c r="AA163" s="413">
        <v>0</v>
      </c>
      <c r="AB163" s="413">
        <v>0</v>
      </c>
      <c r="AC163" s="413">
        <v>0</v>
      </c>
      <c r="AD163" s="413">
        <v>0</v>
      </c>
      <c r="AE163" s="413">
        <v>0</v>
      </c>
      <c r="AF163" s="413">
        <v>0</v>
      </c>
      <c r="AG163" s="413">
        <v>0</v>
      </c>
      <c r="AH163" s="413">
        <v>0</v>
      </c>
      <c r="AI163" s="413">
        <v>0</v>
      </c>
      <c r="AJ163" s="413">
        <v>0</v>
      </c>
      <c r="AK163" s="413">
        <v>0</v>
      </c>
      <c r="AL163" s="413">
        <v>0</v>
      </c>
      <c r="AM163" s="413">
        <v>0</v>
      </c>
      <c r="AN163" s="413">
        <v>0</v>
      </c>
      <c r="AO163" s="413">
        <v>0</v>
      </c>
      <c r="AP163" s="413">
        <v>0</v>
      </c>
      <c r="AQ163" s="413">
        <v>0</v>
      </c>
      <c r="AR163" s="413">
        <v>0</v>
      </c>
      <c r="AS163" s="413">
        <v>0</v>
      </c>
      <c r="AT163" s="413">
        <v>0</v>
      </c>
      <c r="AU163" s="413"/>
      <c r="AV163" s="413"/>
      <c r="AW163" s="413"/>
      <c r="AX163" s="413"/>
      <c r="AY163" s="413"/>
      <c r="AZ163" s="413"/>
      <c r="BA163" s="413"/>
      <c r="BB163" s="413"/>
      <c r="BC163" s="413"/>
      <c r="BD163" s="413"/>
      <c r="BE163" s="413"/>
      <c r="BF163" s="413"/>
      <c r="BG163" s="413"/>
      <c r="BH163" s="413"/>
      <c r="BI163" s="413"/>
      <c r="BJ163" s="413"/>
      <c r="BK163" s="413"/>
      <c r="BL163" s="413"/>
      <c r="BM163" s="413"/>
      <c r="BN163" s="413"/>
      <c r="BO163" s="413"/>
      <c r="BP163" s="413"/>
      <c r="BQ163" s="413"/>
      <c r="BR163" s="413"/>
      <c r="BS163" s="413"/>
      <c r="BT163" s="413"/>
      <c r="BU163" s="413"/>
      <c r="BV163" s="413"/>
      <c r="BW163" s="413"/>
      <c r="BX163" s="413"/>
      <c r="BY163" s="413"/>
      <c r="BZ163" s="413"/>
      <c r="CA163" s="413"/>
      <c r="CB163" s="413"/>
    </row>
    <row r="164" spans="1:80" x14ac:dyDescent="0.25">
      <c r="B164" s="412">
        <v>513</v>
      </c>
      <c r="C164" s="302" t="s">
        <v>263</v>
      </c>
      <c r="D164" s="302">
        <v>0</v>
      </c>
      <c r="E164" s="413">
        <v>0</v>
      </c>
      <c r="F164" s="413">
        <v>0</v>
      </c>
      <c r="G164" s="413">
        <v>0</v>
      </c>
      <c r="H164" s="413">
        <v>0</v>
      </c>
      <c r="I164" s="413">
        <v>0</v>
      </c>
      <c r="J164" s="413">
        <v>0</v>
      </c>
      <c r="K164" s="413">
        <v>0</v>
      </c>
      <c r="L164" s="413">
        <v>0</v>
      </c>
      <c r="M164" s="413">
        <v>0</v>
      </c>
      <c r="N164" s="413">
        <v>0</v>
      </c>
      <c r="O164" s="413">
        <v>0</v>
      </c>
      <c r="P164" s="413">
        <v>0</v>
      </c>
      <c r="Q164" s="413">
        <v>0</v>
      </c>
      <c r="R164" s="413">
        <v>0</v>
      </c>
      <c r="S164" s="413">
        <v>0</v>
      </c>
      <c r="T164" s="413">
        <v>0</v>
      </c>
      <c r="U164" s="413">
        <v>0</v>
      </c>
      <c r="V164" s="413">
        <v>0</v>
      </c>
      <c r="W164" s="413">
        <v>0</v>
      </c>
      <c r="X164" s="413">
        <v>0</v>
      </c>
      <c r="Y164" s="413">
        <v>0</v>
      </c>
      <c r="Z164" s="413">
        <v>0</v>
      </c>
      <c r="AA164" s="413">
        <v>0</v>
      </c>
      <c r="AB164" s="413">
        <v>0</v>
      </c>
      <c r="AC164" s="413">
        <v>0</v>
      </c>
      <c r="AD164" s="413">
        <v>0</v>
      </c>
      <c r="AE164" s="413">
        <v>0</v>
      </c>
      <c r="AF164" s="413">
        <v>0</v>
      </c>
      <c r="AG164" s="413">
        <v>0</v>
      </c>
      <c r="AH164" s="413">
        <v>0</v>
      </c>
      <c r="AI164" s="413">
        <v>0</v>
      </c>
      <c r="AJ164" s="413">
        <v>0</v>
      </c>
      <c r="AK164" s="413">
        <v>0</v>
      </c>
      <c r="AL164" s="413">
        <v>0</v>
      </c>
      <c r="AM164" s="413">
        <v>0</v>
      </c>
      <c r="AN164" s="413">
        <v>0</v>
      </c>
      <c r="AO164" s="413">
        <v>0</v>
      </c>
      <c r="AP164" s="413">
        <v>0</v>
      </c>
      <c r="AQ164" s="413">
        <v>0</v>
      </c>
      <c r="AR164" s="413">
        <v>0</v>
      </c>
      <c r="AS164" s="413">
        <v>0</v>
      </c>
      <c r="AT164" s="413">
        <v>0</v>
      </c>
      <c r="AU164" s="413"/>
      <c r="AV164" s="413"/>
      <c r="AW164" s="413"/>
      <c r="AX164" s="413"/>
      <c r="AY164" s="413"/>
      <c r="AZ164" s="413"/>
      <c r="BA164" s="413"/>
      <c r="BB164" s="413"/>
      <c r="BC164" s="413"/>
      <c r="BD164" s="413"/>
      <c r="BE164" s="413"/>
      <c r="BF164" s="413"/>
      <c r="BG164" s="413"/>
      <c r="BH164" s="413"/>
      <c r="BI164" s="413"/>
      <c r="BJ164" s="413"/>
      <c r="BK164" s="413"/>
      <c r="BL164" s="413"/>
      <c r="BM164" s="413"/>
      <c r="BN164" s="413"/>
      <c r="BO164" s="413"/>
      <c r="BP164" s="413"/>
      <c r="BQ164" s="413"/>
      <c r="BR164" s="413"/>
      <c r="BS164" s="413"/>
      <c r="BT164" s="413"/>
      <c r="BU164" s="413"/>
      <c r="BV164" s="413"/>
      <c r="BW164" s="413"/>
      <c r="BX164" s="413"/>
      <c r="BY164" s="413"/>
      <c r="BZ164" s="413"/>
      <c r="CA164" s="413"/>
      <c r="CB164" s="413"/>
    </row>
    <row r="165" spans="1:80" x14ac:dyDescent="0.25">
      <c r="B165" s="412">
        <v>514</v>
      </c>
      <c r="C165" s="302" t="s">
        <v>264</v>
      </c>
      <c r="D165" s="302">
        <v>0</v>
      </c>
      <c r="E165" s="413">
        <v>0</v>
      </c>
      <c r="F165" s="413">
        <v>0</v>
      </c>
      <c r="G165" s="413">
        <v>0</v>
      </c>
      <c r="H165" s="413">
        <v>0</v>
      </c>
      <c r="I165" s="413">
        <v>0</v>
      </c>
      <c r="J165" s="413">
        <v>0</v>
      </c>
      <c r="K165" s="413">
        <v>0</v>
      </c>
      <c r="L165" s="413">
        <v>0</v>
      </c>
      <c r="M165" s="413">
        <v>0</v>
      </c>
      <c r="N165" s="413">
        <v>0</v>
      </c>
      <c r="O165" s="413">
        <v>0</v>
      </c>
      <c r="P165" s="413">
        <v>0</v>
      </c>
      <c r="Q165" s="413">
        <v>0</v>
      </c>
      <c r="R165" s="413">
        <v>0</v>
      </c>
      <c r="S165" s="413">
        <v>0</v>
      </c>
      <c r="T165" s="413">
        <v>0</v>
      </c>
      <c r="U165" s="413">
        <v>0</v>
      </c>
      <c r="V165" s="413">
        <v>0</v>
      </c>
      <c r="W165" s="413">
        <v>0</v>
      </c>
      <c r="X165" s="413">
        <v>0</v>
      </c>
      <c r="Y165" s="413">
        <v>0</v>
      </c>
      <c r="Z165" s="413">
        <v>0</v>
      </c>
      <c r="AA165" s="413">
        <v>0</v>
      </c>
      <c r="AB165" s="413">
        <v>0</v>
      </c>
      <c r="AC165" s="413">
        <v>0</v>
      </c>
      <c r="AD165" s="413">
        <v>0</v>
      </c>
      <c r="AE165" s="413">
        <v>0</v>
      </c>
      <c r="AF165" s="413">
        <v>0</v>
      </c>
      <c r="AG165" s="413">
        <v>0</v>
      </c>
      <c r="AH165" s="413">
        <v>0</v>
      </c>
      <c r="AI165" s="413">
        <v>0</v>
      </c>
      <c r="AJ165" s="413">
        <v>0</v>
      </c>
      <c r="AK165" s="413">
        <v>0</v>
      </c>
      <c r="AL165" s="413">
        <v>0</v>
      </c>
      <c r="AM165" s="413">
        <v>0</v>
      </c>
      <c r="AN165" s="413">
        <v>0</v>
      </c>
      <c r="AO165" s="413">
        <v>0</v>
      </c>
      <c r="AP165" s="413">
        <v>0</v>
      </c>
      <c r="AQ165" s="413">
        <v>0</v>
      </c>
      <c r="AR165" s="413">
        <v>0</v>
      </c>
      <c r="AS165" s="413">
        <v>0</v>
      </c>
      <c r="AT165" s="413">
        <v>0</v>
      </c>
      <c r="AU165" s="413"/>
      <c r="AV165" s="413"/>
      <c r="AW165" s="413"/>
      <c r="AX165" s="413"/>
      <c r="AY165" s="413"/>
      <c r="AZ165" s="413"/>
      <c r="BA165" s="413"/>
      <c r="BB165" s="413"/>
      <c r="BC165" s="413"/>
      <c r="BD165" s="413"/>
      <c r="BE165" s="413"/>
      <c r="BF165" s="413"/>
      <c r="BG165" s="413"/>
      <c r="BH165" s="413"/>
      <c r="BI165" s="413"/>
      <c r="BJ165" s="413"/>
      <c r="BK165" s="413"/>
      <c r="BL165" s="413"/>
      <c r="BM165" s="413"/>
      <c r="BN165" s="413"/>
      <c r="BO165" s="413"/>
      <c r="BP165" s="413"/>
      <c r="BQ165" s="413"/>
      <c r="BR165" s="413"/>
      <c r="BS165" s="413"/>
      <c r="BT165" s="413"/>
      <c r="BU165" s="413"/>
      <c r="BV165" s="413"/>
      <c r="BW165" s="413"/>
      <c r="BX165" s="413"/>
      <c r="BY165" s="413"/>
      <c r="BZ165" s="413"/>
      <c r="CA165" s="413"/>
      <c r="CB165" s="413"/>
    </row>
    <row r="166" spans="1:80" x14ac:dyDescent="0.25">
      <c r="B166" s="412">
        <v>515</v>
      </c>
      <c r="C166" s="302" t="s">
        <v>277</v>
      </c>
      <c r="D166" s="302">
        <v>0</v>
      </c>
      <c r="E166" s="413">
        <v>0</v>
      </c>
      <c r="F166" s="413">
        <v>0</v>
      </c>
      <c r="G166" s="413">
        <v>0</v>
      </c>
      <c r="H166" s="413">
        <v>0</v>
      </c>
      <c r="I166" s="413">
        <v>0</v>
      </c>
      <c r="J166" s="413">
        <v>0</v>
      </c>
      <c r="K166" s="413">
        <v>0</v>
      </c>
      <c r="L166" s="413">
        <v>0</v>
      </c>
      <c r="M166" s="413">
        <v>0</v>
      </c>
      <c r="N166" s="413">
        <v>0</v>
      </c>
      <c r="O166" s="413">
        <v>0</v>
      </c>
      <c r="P166" s="413">
        <v>0</v>
      </c>
      <c r="Q166" s="413">
        <v>0</v>
      </c>
      <c r="R166" s="413">
        <v>0</v>
      </c>
      <c r="S166" s="413">
        <v>0</v>
      </c>
      <c r="T166" s="413">
        <v>0</v>
      </c>
      <c r="U166" s="413">
        <v>0</v>
      </c>
      <c r="V166" s="413">
        <v>0</v>
      </c>
      <c r="W166" s="413">
        <v>0</v>
      </c>
      <c r="X166" s="413">
        <v>0</v>
      </c>
      <c r="Y166" s="413">
        <v>0</v>
      </c>
      <c r="Z166" s="413">
        <v>0</v>
      </c>
      <c r="AA166" s="413">
        <v>0</v>
      </c>
      <c r="AB166" s="413">
        <v>0</v>
      </c>
      <c r="AC166" s="413">
        <v>0</v>
      </c>
      <c r="AD166" s="413">
        <v>0</v>
      </c>
      <c r="AE166" s="413">
        <v>0</v>
      </c>
      <c r="AF166" s="413">
        <v>0</v>
      </c>
      <c r="AG166" s="413">
        <v>0</v>
      </c>
      <c r="AH166" s="413">
        <v>0</v>
      </c>
      <c r="AI166" s="413">
        <v>0</v>
      </c>
      <c r="AJ166" s="413">
        <v>0</v>
      </c>
      <c r="AK166" s="413">
        <v>0</v>
      </c>
      <c r="AL166" s="413">
        <v>0</v>
      </c>
      <c r="AM166" s="413">
        <v>0</v>
      </c>
      <c r="AN166" s="413">
        <v>0</v>
      </c>
      <c r="AO166" s="413">
        <v>0</v>
      </c>
      <c r="AP166" s="413">
        <v>0</v>
      </c>
      <c r="AQ166" s="413">
        <v>0</v>
      </c>
      <c r="AR166" s="413">
        <v>0</v>
      </c>
      <c r="AS166" s="413">
        <v>0</v>
      </c>
      <c r="AT166" s="413">
        <v>0</v>
      </c>
      <c r="AU166" s="413"/>
      <c r="AV166" s="413"/>
      <c r="AW166" s="413"/>
      <c r="AX166" s="413"/>
      <c r="AY166" s="413"/>
      <c r="AZ166" s="413"/>
      <c r="BA166" s="413"/>
      <c r="BB166" s="413"/>
      <c r="BC166" s="413"/>
      <c r="BD166" s="413"/>
      <c r="BE166" s="413"/>
      <c r="BF166" s="413"/>
      <c r="BG166" s="413"/>
      <c r="BH166" s="413"/>
      <c r="BI166" s="413"/>
      <c r="BJ166" s="413"/>
      <c r="BK166" s="413"/>
      <c r="BL166" s="413"/>
      <c r="BM166" s="413"/>
      <c r="BN166" s="413"/>
      <c r="BO166" s="413"/>
      <c r="BP166" s="413"/>
      <c r="BQ166" s="413"/>
      <c r="BR166" s="413"/>
      <c r="BS166" s="413"/>
      <c r="BT166" s="413"/>
      <c r="BU166" s="413"/>
      <c r="BV166" s="413"/>
      <c r="BW166" s="413"/>
      <c r="BX166" s="413"/>
      <c r="BY166" s="413"/>
      <c r="BZ166" s="413"/>
      <c r="CA166" s="413"/>
      <c r="CB166" s="413"/>
    </row>
    <row r="167" spans="1:80" x14ac:dyDescent="0.25">
      <c r="B167" s="412">
        <v>516</v>
      </c>
      <c r="C167" s="302" t="s">
        <v>278</v>
      </c>
      <c r="D167" s="302">
        <v>0</v>
      </c>
      <c r="E167" s="413">
        <v>0</v>
      </c>
      <c r="F167" s="413">
        <v>0</v>
      </c>
      <c r="G167" s="413">
        <v>0</v>
      </c>
      <c r="H167" s="413">
        <v>0</v>
      </c>
      <c r="I167" s="413">
        <v>0</v>
      </c>
      <c r="J167" s="413">
        <v>0</v>
      </c>
      <c r="K167" s="413">
        <v>0</v>
      </c>
      <c r="L167" s="413">
        <v>0</v>
      </c>
      <c r="M167" s="413">
        <v>0</v>
      </c>
      <c r="N167" s="413">
        <v>0</v>
      </c>
      <c r="O167" s="413">
        <v>0</v>
      </c>
      <c r="P167" s="413">
        <v>0</v>
      </c>
      <c r="Q167" s="413">
        <v>0</v>
      </c>
      <c r="R167" s="413">
        <v>0</v>
      </c>
      <c r="S167" s="413">
        <v>0</v>
      </c>
      <c r="T167" s="413">
        <v>0</v>
      </c>
      <c r="U167" s="413">
        <v>0</v>
      </c>
      <c r="V167" s="413">
        <v>0</v>
      </c>
      <c r="W167" s="413">
        <v>0</v>
      </c>
      <c r="X167" s="413">
        <v>0</v>
      </c>
      <c r="Y167" s="413">
        <v>0</v>
      </c>
      <c r="Z167" s="413">
        <v>0</v>
      </c>
      <c r="AA167" s="413">
        <v>0</v>
      </c>
      <c r="AB167" s="413">
        <v>0</v>
      </c>
      <c r="AC167" s="413">
        <v>0</v>
      </c>
      <c r="AD167" s="413">
        <v>0</v>
      </c>
      <c r="AE167" s="413">
        <v>0</v>
      </c>
      <c r="AF167" s="413">
        <v>0</v>
      </c>
      <c r="AG167" s="413">
        <v>0</v>
      </c>
      <c r="AH167" s="413">
        <v>0</v>
      </c>
      <c r="AI167" s="413">
        <v>0</v>
      </c>
      <c r="AJ167" s="413">
        <v>0</v>
      </c>
      <c r="AK167" s="413">
        <v>0</v>
      </c>
      <c r="AL167" s="413">
        <v>0</v>
      </c>
      <c r="AM167" s="413">
        <v>0</v>
      </c>
      <c r="AN167" s="413">
        <v>0</v>
      </c>
      <c r="AO167" s="413">
        <v>0</v>
      </c>
      <c r="AP167" s="413">
        <v>0</v>
      </c>
      <c r="AQ167" s="413">
        <v>0</v>
      </c>
      <c r="AR167" s="413">
        <v>0</v>
      </c>
      <c r="AS167" s="413">
        <v>0</v>
      </c>
      <c r="AT167" s="413">
        <v>0</v>
      </c>
      <c r="AU167" s="413"/>
      <c r="AV167" s="413"/>
      <c r="AW167" s="413"/>
      <c r="AX167" s="413"/>
      <c r="AY167" s="413"/>
      <c r="AZ167" s="413"/>
      <c r="BA167" s="413"/>
      <c r="BB167" s="413"/>
      <c r="BC167" s="413"/>
      <c r="BD167" s="413"/>
      <c r="BE167" s="413"/>
      <c r="BF167" s="413"/>
      <c r="BG167" s="413"/>
      <c r="BH167" s="413"/>
      <c r="BI167" s="413"/>
      <c r="BJ167" s="413"/>
      <c r="BK167" s="413"/>
      <c r="BL167" s="413"/>
      <c r="BM167" s="413"/>
      <c r="BN167" s="413"/>
      <c r="BO167" s="413"/>
      <c r="BP167" s="413"/>
      <c r="BQ167" s="413"/>
      <c r="BR167" s="413"/>
      <c r="BS167" s="413"/>
      <c r="BT167" s="413"/>
      <c r="BU167" s="413"/>
      <c r="BV167" s="413"/>
      <c r="BW167" s="413"/>
      <c r="BX167" s="413"/>
      <c r="BY167" s="413"/>
      <c r="BZ167" s="413"/>
      <c r="CA167" s="413"/>
      <c r="CB167" s="413"/>
    </row>
    <row r="168" spans="1:80" x14ac:dyDescent="0.25">
      <c r="B168" s="412">
        <v>517</v>
      </c>
      <c r="C168" s="302" t="s">
        <v>279</v>
      </c>
      <c r="D168" s="302">
        <v>0</v>
      </c>
      <c r="E168" s="413">
        <v>0</v>
      </c>
      <c r="F168" s="413">
        <v>0</v>
      </c>
      <c r="G168" s="413">
        <v>0</v>
      </c>
      <c r="H168" s="413">
        <v>0</v>
      </c>
      <c r="I168" s="413">
        <v>0</v>
      </c>
      <c r="J168" s="413">
        <v>0</v>
      </c>
      <c r="K168" s="413">
        <v>0</v>
      </c>
      <c r="L168" s="413">
        <v>0</v>
      </c>
      <c r="M168" s="413">
        <v>0</v>
      </c>
      <c r="N168" s="413">
        <v>0</v>
      </c>
      <c r="O168" s="413">
        <v>0</v>
      </c>
      <c r="P168" s="413">
        <v>0</v>
      </c>
      <c r="Q168" s="413">
        <v>0</v>
      </c>
      <c r="R168" s="413">
        <v>0</v>
      </c>
      <c r="S168" s="413">
        <v>0</v>
      </c>
      <c r="T168" s="413">
        <v>0</v>
      </c>
      <c r="U168" s="413">
        <v>0</v>
      </c>
      <c r="V168" s="413">
        <v>0</v>
      </c>
      <c r="W168" s="413">
        <v>0</v>
      </c>
      <c r="X168" s="413">
        <v>0</v>
      </c>
      <c r="Y168" s="413">
        <v>0</v>
      </c>
      <c r="Z168" s="413">
        <v>0</v>
      </c>
      <c r="AA168" s="413">
        <v>0</v>
      </c>
      <c r="AB168" s="413">
        <v>0</v>
      </c>
      <c r="AC168" s="413">
        <v>0</v>
      </c>
      <c r="AD168" s="413">
        <v>0</v>
      </c>
      <c r="AE168" s="413">
        <v>0</v>
      </c>
      <c r="AF168" s="413">
        <v>0</v>
      </c>
      <c r="AG168" s="413">
        <v>0</v>
      </c>
      <c r="AH168" s="413">
        <v>0</v>
      </c>
      <c r="AI168" s="413">
        <v>0</v>
      </c>
      <c r="AJ168" s="413">
        <v>0</v>
      </c>
      <c r="AK168" s="413">
        <v>0</v>
      </c>
      <c r="AL168" s="413">
        <v>0</v>
      </c>
      <c r="AM168" s="413">
        <v>0</v>
      </c>
      <c r="AN168" s="413">
        <v>0</v>
      </c>
      <c r="AO168" s="413">
        <v>0</v>
      </c>
      <c r="AP168" s="413">
        <v>0</v>
      </c>
      <c r="AQ168" s="413">
        <v>0</v>
      </c>
      <c r="AR168" s="413">
        <v>0</v>
      </c>
      <c r="AS168" s="413">
        <v>0</v>
      </c>
      <c r="AT168" s="413">
        <v>0</v>
      </c>
      <c r="AU168" s="413"/>
      <c r="AV168" s="413"/>
      <c r="AW168" s="413"/>
      <c r="AX168" s="413"/>
      <c r="AY168" s="413"/>
      <c r="AZ168" s="413"/>
      <c r="BA168" s="413"/>
      <c r="BB168" s="413"/>
      <c r="BC168" s="413"/>
      <c r="BD168" s="413"/>
      <c r="BE168" s="413"/>
      <c r="BF168" s="413"/>
      <c r="BG168" s="413"/>
      <c r="BH168" s="413"/>
      <c r="BI168" s="413"/>
      <c r="BJ168" s="413"/>
      <c r="BK168" s="413"/>
      <c r="BL168" s="413"/>
      <c r="BM168" s="413"/>
      <c r="BN168" s="413"/>
      <c r="BO168" s="413"/>
      <c r="BP168" s="413"/>
      <c r="BQ168" s="413"/>
      <c r="BR168" s="413"/>
      <c r="BS168" s="413"/>
      <c r="BT168" s="413"/>
      <c r="BU168" s="413"/>
      <c r="BV168" s="413"/>
      <c r="BW168" s="413"/>
      <c r="BX168" s="413"/>
      <c r="BY168" s="413"/>
      <c r="BZ168" s="413"/>
      <c r="CA168" s="413"/>
      <c r="CB168" s="413"/>
    </row>
    <row r="169" spans="1:80" x14ac:dyDescent="0.25">
      <c r="B169" s="412">
        <v>518</v>
      </c>
      <c r="C169" s="302" t="s">
        <v>280</v>
      </c>
      <c r="D169" s="302">
        <v>0</v>
      </c>
      <c r="E169" s="413">
        <v>0</v>
      </c>
      <c r="F169" s="413">
        <v>0</v>
      </c>
      <c r="G169" s="413">
        <v>0</v>
      </c>
      <c r="H169" s="413">
        <v>0</v>
      </c>
      <c r="I169" s="413">
        <v>0</v>
      </c>
      <c r="J169" s="413">
        <v>0</v>
      </c>
      <c r="K169" s="413">
        <v>0</v>
      </c>
      <c r="L169" s="413">
        <v>0</v>
      </c>
      <c r="M169" s="413">
        <v>0</v>
      </c>
      <c r="N169" s="413">
        <v>0</v>
      </c>
      <c r="O169" s="413">
        <v>0</v>
      </c>
      <c r="P169" s="413">
        <v>0</v>
      </c>
      <c r="Q169" s="413">
        <v>0</v>
      </c>
      <c r="R169" s="413">
        <v>0</v>
      </c>
      <c r="S169" s="413">
        <v>0</v>
      </c>
      <c r="T169" s="413">
        <v>0</v>
      </c>
      <c r="U169" s="413">
        <v>0</v>
      </c>
      <c r="V169" s="413">
        <v>0</v>
      </c>
      <c r="W169" s="413">
        <v>0</v>
      </c>
      <c r="X169" s="413">
        <v>0</v>
      </c>
      <c r="Y169" s="413">
        <v>0</v>
      </c>
      <c r="Z169" s="413">
        <v>0</v>
      </c>
      <c r="AA169" s="413">
        <v>0</v>
      </c>
      <c r="AB169" s="413">
        <v>0</v>
      </c>
      <c r="AC169" s="413">
        <v>0</v>
      </c>
      <c r="AD169" s="413">
        <v>0</v>
      </c>
      <c r="AE169" s="413">
        <v>0</v>
      </c>
      <c r="AF169" s="413">
        <v>0</v>
      </c>
      <c r="AG169" s="413">
        <v>0</v>
      </c>
      <c r="AH169" s="413">
        <v>0</v>
      </c>
      <c r="AI169" s="413">
        <v>0</v>
      </c>
      <c r="AJ169" s="413">
        <v>0</v>
      </c>
      <c r="AK169" s="413">
        <v>0</v>
      </c>
      <c r="AL169" s="413">
        <v>0</v>
      </c>
      <c r="AM169" s="413">
        <v>0</v>
      </c>
      <c r="AN169" s="413">
        <v>0</v>
      </c>
      <c r="AO169" s="413">
        <v>0</v>
      </c>
      <c r="AP169" s="413">
        <v>0</v>
      </c>
      <c r="AQ169" s="413">
        <v>0</v>
      </c>
      <c r="AR169" s="413">
        <v>0</v>
      </c>
      <c r="AS169" s="413">
        <v>0</v>
      </c>
      <c r="AT169" s="413">
        <v>0</v>
      </c>
      <c r="AU169" s="413"/>
      <c r="AV169" s="413"/>
      <c r="AW169" s="413"/>
      <c r="AX169" s="413"/>
      <c r="AY169" s="413"/>
      <c r="AZ169" s="413"/>
      <c r="BA169" s="413"/>
      <c r="BB169" s="413"/>
      <c r="BC169" s="413"/>
      <c r="BD169" s="413"/>
      <c r="BE169" s="413"/>
      <c r="BF169" s="413"/>
      <c r="BG169" s="413"/>
      <c r="BH169" s="413"/>
      <c r="BI169" s="413"/>
      <c r="BJ169" s="413"/>
      <c r="BK169" s="413"/>
      <c r="BL169" s="413"/>
      <c r="BM169" s="413"/>
      <c r="BN169" s="413"/>
      <c r="BO169" s="413"/>
      <c r="BP169" s="413"/>
      <c r="BQ169" s="413"/>
      <c r="BR169" s="413"/>
      <c r="BS169" s="413"/>
      <c r="BT169" s="413"/>
      <c r="BU169" s="413"/>
      <c r="BV169" s="413"/>
      <c r="BW169" s="413"/>
      <c r="BX169" s="413"/>
      <c r="BY169" s="413"/>
      <c r="BZ169" s="413"/>
      <c r="CA169" s="413"/>
      <c r="CB169" s="413"/>
    </row>
    <row r="170" spans="1:80" x14ac:dyDescent="0.25">
      <c r="B170" s="412">
        <v>519</v>
      </c>
      <c r="C170" s="302" t="s">
        <v>281</v>
      </c>
      <c r="D170" s="302">
        <v>0</v>
      </c>
      <c r="E170" s="413">
        <v>0</v>
      </c>
      <c r="F170" s="413">
        <v>0</v>
      </c>
      <c r="G170" s="413">
        <v>0</v>
      </c>
      <c r="H170" s="413">
        <v>0</v>
      </c>
      <c r="I170" s="413">
        <v>0</v>
      </c>
      <c r="J170" s="413">
        <v>0</v>
      </c>
      <c r="K170" s="413">
        <v>0</v>
      </c>
      <c r="L170" s="413">
        <v>0</v>
      </c>
      <c r="M170" s="413">
        <v>0</v>
      </c>
      <c r="N170" s="413">
        <v>0</v>
      </c>
      <c r="O170" s="413">
        <v>0</v>
      </c>
      <c r="P170" s="413">
        <v>0</v>
      </c>
      <c r="Q170" s="413">
        <v>0</v>
      </c>
      <c r="R170" s="413">
        <v>0</v>
      </c>
      <c r="S170" s="413">
        <v>0</v>
      </c>
      <c r="T170" s="413">
        <v>0</v>
      </c>
      <c r="U170" s="413">
        <v>0</v>
      </c>
      <c r="V170" s="413">
        <v>0</v>
      </c>
      <c r="W170" s="413">
        <v>0</v>
      </c>
      <c r="X170" s="413">
        <v>0</v>
      </c>
      <c r="Y170" s="413">
        <v>0</v>
      </c>
      <c r="Z170" s="413">
        <v>0</v>
      </c>
      <c r="AA170" s="413">
        <v>0</v>
      </c>
      <c r="AB170" s="413">
        <v>0</v>
      </c>
      <c r="AC170" s="413">
        <v>0</v>
      </c>
      <c r="AD170" s="413">
        <v>0</v>
      </c>
      <c r="AE170" s="413">
        <v>0</v>
      </c>
      <c r="AF170" s="413">
        <v>0</v>
      </c>
      <c r="AG170" s="413">
        <v>0</v>
      </c>
      <c r="AH170" s="413">
        <v>0</v>
      </c>
      <c r="AI170" s="413">
        <v>0</v>
      </c>
      <c r="AJ170" s="413">
        <v>0</v>
      </c>
      <c r="AK170" s="413">
        <v>0</v>
      </c>
      <c r="AL170" s="413">
        <v>0</v>
      </c>
      <c r="AM170" s="413">
        <v>0</v>
      </c>
      <c r="AN170" s="413">
        <v>0</v>
      </c>
      <c r="AO170" s="413">
        <v>0</v>
      </c>
      <c r="AP170" s="413">
        <v>0</v>
      </c>
      <c r="AQ170" s="413">
        <v>0</v>
      </c>
      <c r="AR170" s="413">
        <v>0</v>
      </c>
      <c r="AS170" s="413">
        <v>0</v>
      </c>
      <c r="AT170" s="413">
        <v>0</v>
      </c>
      <c r="AU170" s="413"/>
      <c r="AV170" s="413"/>
      <c r="AW170" s="413"/>
      <c r="AX170" s="413"/>
      <c r="AY170" s="413"/>
      <c r="AZ170" s="413"/>
      <c r="BA170" s="413"/>
      <c r="BB170" s="413"/>
      <c r="BC170" s="413"/>
      <c r="BD170" s="413"/>
      <c r="BE170" s="413"/>
      <c r="BF170" s="413"/>
      <c r="BG170" s="413"/>
      <c r="BH170" s="413"/>
      <c r="BI170" s="413"/>
      <c r="BJ170" s="413"/>
      <c r="BK170" s="413"/>
      <c r="BL170" s="413"/>
      <c r="BM170" s="413"/>
      <c r="BN170" s="413"/>
      <c r="BO170" s="413"/>
      <c r="BP170" s="413"/>
      <c r="BQ170" s="413"/>
      <c r="BR170" s="413"/>
      <c r="BS170" s="413"/>
      <c r="BT170" s="413"/>
      <c r="BU170" s="413"/>
      <c r="BV170" s="413"/>
      <c r="BW170" s="413"/>
      <c r="BX170" s="413"/>
      <c r="BY170" s="413"/>
      <c r="BZ170" s="413"/>
      <c r="CA170" s="413"/>
      <c r="CB170" s="413"/>
    </row>
    <row r="171" spans="1:80" x14ac:dyDescent="0.25">
      <c r="B171" s="412">
        <v>520</v>
      </c>
      <c r="C171" s="302" t="s">
        <v>282</v>
      </c>
      <c r="D171" s="302">
        <v>0</v>
      </c>
      <c r="E171" s="413">
        <v>0</v>
      </c>
      <c r="F171" s="413">
        <v>0</v>
      </c>
      <c r="G171" s="413">
        <v>0</v>
      </c>
      <c r="H171" s="413">
        <v>0</v>
      </c>
      <c r="I171" s="413">
        <v>0</v>
      </c>
      <c r="J171" s="413">
        <v>0</v>
      </c>
      <c r="K171" s="413">
        <v>0</v>
      </c>
      <c r="L171" s="413">
        <v>0</v>
      </c>
      <c r="M171" s="413">
        <v>0</v>
      </c>
      <c r="N171" s="413">
        <v>0</v>
      </c>
      <c r="O171" s="413">
        <v>0</v>
      </c>
      <c r="P171" s="413">
        <v>0</v>
      </c>
      <c r="Q171" s="413">
        <v>0</v>
      </c>
      <c r="R171" s="413">
        <v>0</v>
      </c>
      <c r="S171" s="413">
        <v>0</v>
      </c>
      <c r="T171" s="413">
        <v>0</v>
      </c>
      <c r="U171" s="413">
        <v>0</v>
      </c>
      <c r="V171" s="413">
        <v>0</v>
      </c>
      <c r="W171" s="413">
        <v>0</v>
      </c>
      <c r="X171" s="413">
        <v>0</v>
      </c>
      <c r="Y171" s="413">
        <v>0</v>
      </c>
      <c r="Z171" s="413">
        <v>0</v>
      </c>
      <c r="AA171" s="413">
        <v>0</v>
      </c>
      <c r="AB171" s="413">
        <v>0</v>
      </c>
      <c r="AC171" s="413">
        <v>0</v>
      </c>
      <c r="AD171" s="413">
        <v>0</v>
      </c>
      <c r="AE171" s="413">
        <v>0</v>
      </c>
      <c r="AF171" s="413">
        <v>0</v>
      </c>
      <c r="AG171" s="413">
        <v>0</v>
      </c>
      <c r="AH171" s="413">
        <v>0</v>
      </c>
      <c r="AI171" s="413">
        <v>0</v>
      </c>
      <c r="AJ171" s="413">
        <v>0</v>
      </c>
      <c r="AK171" s="413">
        <v>0</v>
      </c>
      <c r="AL171" s="413">
        <v>0</v>
      </c>
      <c r="AM171" s="413">
        <v>0</v>
      </c>
      <c r="AN171" s="413">
        <v>0</v>
      </c>
      <c r="AO171" s="413">
        <v>0</v>
      </c>
      <c r="AP171" s="413">
        <v>0</v>
      </c>
      <c r="AQ171" s="413">
        <v>0</v>
      </c>
      <c r="AR171" s="413">
        <v>0</v>
      </c>
      <c r="AS171" s="413">
        <v>0</v>
      </c>
      <c r="AT171" s="413">
        <v>0</v>
      </c>
      <c r="AU171" s="413"/>
      <c r="AV171" s="413"/>
      <c r="AW171" s="413"/>
      <c r="AX171" s="413"/>
      <c r="AY171" s="413"/>
      <c r="AZ171" s="413"/>
      <c r="BA171" s="413"/>
      <c r="BB171" s="413"/>
      <c r="BC171" s="413"/>
      <c r="BD171" s="413"/>
      <c r="BE171" s="413"/>
      <c r="BF171" s="413"/>
      <c r="BG171" s="413"/>
      <c r="BH171" s="413"/>
      <c r="BI171" s="413"/>
      <c r="BJ171" s="413"/>
      <c r="BK171" s="413"/>
      <c r="BL171" s="413"/>
      <c r="BM171" s="413"/>
      <c r="BN171" s="413"/>
      <c r="BO171" s="413"/>
      <c r="BP171" s="413"/>
      <c r="BQ171" s="413"/>
      <c r="BR171" s="413"/>
      <c r="BS171" s="413"/>
      <c r="BT171" s="413"/>
      <c r="BU171" s="413"/>
      <c r="BV171" s="413"/>
      <c r="BW171" s="413"/>
      <c r="BX171" s="413"/>
      <c r="BY171" s="413"/>
      <c r="BZ171" s="413"/>
      <c r="CA171" s="413"/>
      <c r="CB171" s="413"/>
    </row>
    <row r="172" spans="1:80" x14ac:dyDescent="0.25">
      <c r="B172" s="412">
        <v>521</v>
      </c>
      <c r="C172" s="302" t="s">
        <v>283</v>
      </c>
      <c r="D172" s="302">
        <v>0</v>
      </c>
      <c r="E172" s="413">
        <v>0</v>
      </c>
      <c r="F172" s="413">
        <v>0</v>
      </c>
      <c r="G172" s="413">
        <v>0</v>
      </c>
      <c r="H172" s="413">
        <v>0</v>
      </c>
      <c r="I172" s="413">
        <v>0</v>
      </c>
      <c r="J172" s="413">
        <v>0</v>
      </c>
      <c r="K172" s="413">
        <v>0</v>
      </c>
      <c r="L172" s="413">
        <v>0</v>
      </c>
      <c r="M172" s="413">
        <v>0</v>
      </c>
      <c r="N172" s="413">
        <v>0</v>
      </c>
      <c r="O172" s="413">
        <v>0</v>
      </c>
      <c r="P172" s="413">
        <v>0</v>
      </c>
      <c r="Q172" s="413">
        <v>0</v>
      </c>
      <c r="R172" s="413">
        <v>0</v>
      </c>
      <c r="S172" s="413">
        <v>0</v>
      </c>
      <c r="T172" s="413">
        <v>0</v>
      </c>
      <c r="U172" s="413">
        <v>0</v>
      </c>
      <c r="V172" s="413">
        <v>0</v>
      </c>
      <c r="W172" s="413">
        <v>0</v>
      </c>
      <c r="X172" s="413">
        <v>0</v>
      </c>
      <c r="Y172" s="413">
        <v>0</v>
      </c>
      <c r="Z172" s="413">
        <v>0</v>
      </c>
      <c r="AA172" s="413">
        <v>0</v>
      </c>
      <c r="AB172" s="413">
        <v>0</v>
      </c>
      <c r="AC172" s="413">
        <v>0</v>
      </c>
      <c r="AD172" s="413">
        <v>0</v>
      </c>
      <c r="AE172" s="413">
        <v>0</v>
      </c>
      <c r="AF172" s="413">
        <v>0</v>
      </c>
      <c r="AG172" s="413">
        <v>0</v>
      </c>
      <c r="AH172" s="413">
        <v>0</v>
      </c>
      <c r="AI172" s="413">
        <v>0</v>
      </c>
      <c r="AJ172" s="413">
        <v>0</v>
      </c>
      <c r="AK172" s="413">
        <v>0</v>
      </c>
      <c r="AL172" s="413">
        <v>0</v>
      </c>
      <c r="AM172" s="413">
        <v>0</v>
      </c>
      <c r="AN172" s="413">
        <v>0</v>
      </c>
      <c r="AO172" s="413">
        <v>0</v>
      </c>
      <c r="AP172" s="413">
        <v>0</v>
      </c>
      <c r="AQ172" s="413">
        <v>0</v>
      </c>
      <c r="AR172" s="413">
        <v>0</v>
      </c>
      <c r="AS172" s="413">
        <v>0</v>
      </c>
      <c r="AT172" s="413">
        <v>0</v>
      </c>
      <c r="AU172" s="413"/>
      <c r="AV172" s="413"/>
      <c r="AW172" s="413"/>
      <c r="AX172" s="413"/>
      <c r="AY172" s="413"/>
      <c r="AZ172" s="413"/>
      <c r="BA172" s="413"/>
      <c r="BB172" s="413"/>
      <c r="BC172" s="413"/>
      <c r="BD172" s="413"/>
      <c r="BE172" s="413"/>
      <c r="BF172" s="413"/>
      <c r="BG172" s="413"/>
      <c r="BH172" s="413"/>
      <c r="BI172" s="413"/>
      <c r="BJ172" s="413"/>
      <c r="BK172" s="413"/>
      <c r="BL172" s="413"/>
      <c r="BM172" s="413"/>
      <c r="BN172" s="413"/>
      <c r="BO172" s="413"/>
      <c r="BP172" s="413"/>
      <c r="BQ172" s="413"/>
      <c r="BR172" s="413"/>
      <c r="BS172" s="413"/>
      <c r="BT172" s="413"/>
      <c r="BU172" s="413"/>
      <c r="BV172" s="413"/>
      <c r="BW172" s="413"/>
      <c r="BX172" s="413"/>
      <c r="BY172" s="413"/>
      <c r="BZ172" s="413"/>
      <c r="CA172" s="413"/>
      <c r="CB172" s="413"/>
    </row>
    <row r="173" spans="1:80" x14ac:dyDescent="0.25">
      <c r="B173" s="412">
        <v>522</v>
      </c>
      <c r="C173" s="302" t="s">
        <v>284</v>
      </c>
      <c r="D173" s="302">
        <v>0</v>
      </c>
      <c r="E173" s="413">
        <v>0</v>
      </c>
      <c r="F173" s="413">
        <v>0</v>
      </c>
      <c r="G173" s="413">
        <v>0</v>
      </c>
      <c r="H173" s="413">
        <v>0</v>
      </c>
      <c r="I173" s="413">
        <v>0</v>
      </c>
      <c r="J173" s="413">
        <v>0</v>
      </c>
      <c r="K173" s="413">
        <v>0</v>
      </c>
      <c r="L173" s="413">
        <v>0</v>
      </c>
      <c r="M173" s="413">
        <v>0</v>
      </c>
      <c r="N173" s="413">
        <v>0</v>
      </c>
      <c r="O173" s="413">
        <v>0</v>
      </c>
      <c r="P173" s="413">
        <v>0</v>
      </c>
      <c r="Q173" s="413">
        <v>0</v>
      </c>
      <c r="R173" s="413">
        <v>0</v>
      </c>
      <c r="S173" s="413">
        <v>0</v>
      </c>
      <c r="T173" s="413">
        <v>0</v>
      </c>
      <c r="U173" s="413">
        <v>0</v>
      </c>
      <c r="V173" s="413">
        <v>0</v>
      </c>
      <c r="W173" s="413">
        <v>0</v>
      </c>
      <c r="X173" s="413">
        <v>0</v>
      </c>
      <c r="Y173" s="413">
        <v>0</v>
      </c>
      <c r="Z173" s="413">
        <v>0</v>
      </c>
      <c r="AA173" s="413">
        <v>0</v>
      </c>
      <c r="AB173" s="413">
        <v>0</v>
      </c>
      <c r="AC173" s="413">
        <v>0</v>
      </c>
      <c r="AD173" s="413">
        <v>0</v>
      </c>
      <c r="AE173" s="413">
        <v>0</v>
      </c>
      <c r="AF173" s="413">
        <v>0</v>
      </c>
      <c r="AG173" s="413">
        <v>0</v>
      </c>
      <c r="AH173" s="413">
        <v>0</v>
      </c>
      <c r="AI173" s="413">
        <v>0</v>
      </c>
      <c r="AJ173" s="413">
        <v>0</v>
      </c>
      <c r="AK173" s="413">
        <v>0</v>
      </c>
      <c r="AL173" s="413">
        <v>0</v>
      </c>
      <c r="AM173" s="413">
        <v>0</v>
      </c>
      <c r="AN173" s="413">
        <v>0</v>
      </c>
      <c r="AO173" s="413">
        <v>0</v>
      </c>
      <c r="AP173" s="413">
        <v>0</v>
      </c>
      <c r="AQ173" s="413">
        <v>0</v>
      </c>
      <c r="AR173" s="413">
        <v>0</v>
      </c>
      <c r="AS173" s="413">
        <v>0</v>
      </c>
      <c r="AT173" s="413">
        <v>0</v>
      </c>
      <c r="AU173" s="413"/>
      <c r="AV173" s="413"/>
      <c r="AW173" s="413"/>
      <c r="AX173" s="413"/>
      <c r="AY173" s="413"/>
      <c r="AZ173" s="413"/>
      <c r="BA173" s="413"/>
      <c r="BB173" s="413"/>
      <c r="BC173" s="413"/>
      <c r="BD173" s="413"/>
      <c r="BE173" s="413"/>
      <c r="BF173" s="413"/>
      <c r="BG173" s="413"/>
      <c r="BH173" s="413"/>
      <c r="BI173" s="413"/>
      <c r="BJ173" s="413"/>
      <c r="BK173" s="413"/>
      <c r="BL173" s="413"/>
      <c r="BM173" s="413"/>
      <c r="BN173" s="413"/>
      <c r="BO173" s="413"/>
      <c r="BP173" s="413"/>
      <c r="BQ173" s="413"/>
      <c r="BR173" s="413"/>
      <c r="BS173" s="413"/>
      <c r="BT173" s="413"/>
      <c r="BU173" s="413"/>
      <c r="BV173" s="413"/>
      <c r="BW173" s="413"/>
      <c r="BX173" s="413"/>
      <c r="BY173" s="413"/>
      <c r="BZ173" s="413"/>
      <c r="CA173" s="413"/>
      <c r="CB173" s="413"/>
    </row>
    <row r="174" spans="1:80" x14ac:dyDescent="0.25">
      <c r="B174" s="412">
        <v>523</v>
      </c>
      <c r="C174" s="302" t="s">
        <v>285</v>
      </c>
      <c r="D174" s="302">
        <v>0</v>
      </c>
      <c r="E174" s="413">
        <v>0</v>
      </c>
      <c r="F174" s="413">
        <v>0</v>
      </c>
      <c r="G174" s="413">
        <v>0</v>
      </c>
      <c r="H174" s="413">
        <v>0</v>
      </c>
      <c r="I174" s="413">
        <v>0</v>
      </c>
      <c r="J174" s="413">
        <v>0</v>
      </c>
      <c r="K174" s="413">
        <v>0</v>
      </c>
      <c r="L174" s="413">
        <v>0</v>
      </c>
      <c r="M174" s="413">
        <v>0</v>
      </c>
      <c r="N174" s="413">
        <v>0</v>
      </c>
      <c r="O174" s="413">
        <v>0</v>
      </c>
      <c r="P174" s="413">
        <v>0</v>
      </c>
      <c r="Q174" s="413">
        <v>0</v>
      </c>
      <c r="R174" s="413">
        <v>0</v>
      </c>
      <c r="S174" s="413">
        <v>0</v>
      </c>
      <c r="T174" s="413">
        <v>0</v>
      </c>
      <c r="U174" s="413">
        <v>0</v>
      </c>
      <c r="V174" s="413">
        <v>0</v>
      </c>
      <c r="W174" s="413">
        <v>0</v>
      </c>
      <c r="X174" s="413">
        <v>0</v>
      </c>
      <c r="Y174" s="413">
        <v>0</v>
      </c>
      <c r="Z174" s="413">
        <v>0</v>
      </c>
      <c r="AA174" s="413">
        <v>0</v>
      </c>
      <c r="AB174" s="413">
        <v>0</v>
      </c>
      <c r="AC174" s="413">
        <v>0</v>
      </c>
      <c r="AD174" s="413">
        <v>0</v>
      </c>
      <c r="AE174" s="413">
        <v>0</v>
      </c>
      <c r="AF174" s="413">
        <v>0</v>
      </c>
      <c r="AG174" s="413">
        <v>0</v>
      </c>
      <c r="AH174" s="413">
        <v>0</v>
      </c>
      <c r="AI174" s="413">
        <v>0</v>
      </c>
      <c r="AJ174" s="413">
        <v>0</v>
      </c>
      <c r="AK174" s="413">
        <v>0</v>
      </c>
      <c r="AL174" s="413">
        <v>0</v>
      </c>
      <c r="AM174" s="413">
        <v>0</v>
      </c>
      <c r="AN174" s="413">
        <v>0</v>
      </c>
      <c r="AO174" s="413">
        <v>0</v>
      </c>
      <c r="AP174" s="413">
        <v>0</v>
      </c>
      <c r="AQ174" s="413">
        <v>0</v>
      </c>
      <c r="AR174" s="413">
        <v>0</v>
      </c>
      <c r="AS174" s="413">
        <v>0</v>
      </c>
      <c r="AT174" s="413">
        <v>0</v>
      </c>
      <c r="AU174" s="413"/>
      <c r="AV174" s="413"/>
      <c r="AW174" s="413"/>
      <c r="AX174" s="413"/>
      <c r="AY174" s="413"/>
      <c r="AZ174" s="413"/>
      <c r="BA174" s="413"/>
      <c r="BB174" s="413"/>
      <c r="BC174" s="413"/>
      <c r="BD174" s="413"/>
      <c r="BE174" s="413"/>
      <c r="BF174" s="413"/>
      <c r="BG174" s="413"/>
      <c r="BH174" s="413"/>
      <c r="BI174" s="413"/>
      <c r="BJ174" s="413"/>
      <c r="BK174" s="413"/>
      <c r="BL174" s="413"/>
      <c r="BM174" s="413"/>
      <c r="BN174" s="413"/>
      <c r="BO174" s="413"/>
      <c r="BP174" s="413"/>
      <c r="BQ174" s="413"/>
      <c r="BR174" s="413"/>
      <c r="BS174" s="413"/>
      <c r="BT174" s="413"/>
      <c r="BU174" s="413"/>
      <c r="BV174" s="413"/>
      <c r="BW174" s="413"/>
      <c r="BX174" s="413"/>
      <c r="BY174" s="413"/>
      <c r="BZ174" s="413"/>
      <c r="CA174" s="413"/>
      <c r="CB174" s="413"/>
    </row>
    <row r="175" spans="1:80" x14ac:dyDescent="0.25">
      <c r="B175" s="412">
        <v>524</v>
      </c>
      <c r="C175" s="302" t="s">
        <v>286</v>
      </c>
      <c r="D175" s="302">
        <v>0</v>
      </c>
      <c r="E175" s="413">
        <v>0</v>
      </c>
      <c r="F175" s="413">
        <v>0</v>
      </c>
      <c r="G175" s="413">
        <v>0</v>
      </c>
      <c r="H175" s="413">
        <v>0</v>
      </c>
      <c r="I175" s="413">
        <v>0</v>
      </c>
      <c r="J175" s="413">
        <v>0</v>
      </c>
      <c r="K175" s="413">
        <v>0</v>
      </c>
      <c r="L175" s="413">
        <v>0</v>
      </c>
      <c r="M175" s="413">
        <v>0</v>
      </c>
      <c r="N175" s="413">
        <v>0</v>
      </c>
      <c r="O175" s="413">
        <v>0</v>
      </c>
      <c r="P175" s="413">
        <v>0</v>
      </c>
      <c r="Q175" s="413">
        <v>0</v>
      </c>
      <c r="R175" s="413">
        <v>0</v>
      </c>
      <c r="S175" s="413">
        <v>0</v>
      </c>
      <c r="T175" s="413">
        <v>0</v>
      </c>
      <c r="U175" s="413">
        <v>0</v>
      </c>
      <c r="V175" s="413">
        <v>0</v>
      </c>
      <c r="W175" s="413">
        <v>0</v>
      </c>
      <c r="X175" s="413">
        <v>0</v>
      </c>
      <c r="Y175" s="413">
        <v>0</v>
      </c>
      <c r="Z175" s="413">
        <v>0</v>
      </c>
      <c r="AA175" s="413">
        <v>0</v>
      </c>
      <c r="AB175" s="413">
        <v>0</v>
      </c>
      <c r="AC175" s="413">
        <v>0</v>
      </c>
      <c r="AD175" s="413">
        <v>0</v>
      </c>
      <c r="AE175" s="413">
        <v>0</v>
      </c>
      <c r="AF175" s="413">
        <v>0</v>
      </c>
      <c r="AG175" s="413">
        <v>0</v>
      </c>
      <c r="AH175" s="413">
        <v>0</v>
      </c>
      <c r="AI175" s="413">
        <v>0</v>
      </c>
      <c r="AJ175" s="413">
        <v>0</v>
      </c>
      <c r="AK175" s="413">
        <v>0</v>
      </c>
      <c r="AL175" s="413">
        <v>0</v>
      </c>
      <c r="AM175" s="413">
        <v>0</v>
      </c>
      <c r="AN175" s="413">
        <v>0</v>
      </c>
      <c r="AO175" s="413">
        <v>0</v>
      </c>
      <c r="AP175" s="413">
        <v>0</v>
      </c>
      <c r="AQ175" s="413">
        <v>0</v>
      </c>
      <c r="AR175" s="413">
        <v>0</v>
      </c>
      <c r="AS175" s="413">
        <v>0</v>
      </c>
      <c r="AT175" s="413">
        <v>0</v>
      </c>
      <c r="AU175" s="413"/>
      <c r="AV175" s="413"/>
      <c r="AW175" s="413"/>
      <c r="AX175" s="413"/>
      <c r="AY175" s="413"/>
      <c r="AZ175" s="413"/>
      <c r="BA175" s="413"/>
      <c r="BB175" s="413"/>
      <c r="BC175" s="413"/>
      <c r="BD175" s="413"/>
      <c r="BE175" s="413"/>
      <c r="BF175" s="413"/>
      <c r="BG175" s="413"/>
      <c r="BH175" s="413"/>
      <c r="BI175" s="413"/>
      <c r="BJ175" s="413"/>
      <c r="BK175" s="413"/>
      <c r="BL175" s="413"/>
      <c r="BM175" s="413"/>
      <c r="BN175" s="413"/>
      <c r="BO175" s="413"/>
      <c r="BP175" s="413"/>
      <c r="BQ175" s="413"/>
      <c r="BR175" s="413"/>
      <c r="BS175" s="413"/>
      <c r="BT175" s="413"/>
      <c r="BU175" s="413"/>
      <c r="BV175" s="413"/>
      <c r="BW175" s="413"/>
      <c r="BX175" s="413"/>
      <c r="BY175" s="413"/>
      <c r="BZ175" s="413"/>
      <c r="CA175" s="413"/>
      <c r="CB175" s="413"/>
    </row>
    <row r="176" spans="1:80" x14ac:dyDescent="0.25">
      <c r="B176" s="412">
        <v>525</v>
      </c>
      <c r="C176" s="302" t="s">
        <v>287</v>
      </c>
      <c r="D176" s="302">
        <v>0</v>
      </c>
      <c r="E176" s="413">
        <v>0</v>
      </c>
      <c r="F176" s="413">
        <v>0</v>
      </c>
      <c r="G176" s="413">
        <v>0</v>
      </c>
      <c r="H176" s="413">
        <v>0</v>
      </c>
      <c r="I176" s="413">
        <v>0</v>
      </c>
      <c r="J176" s="413">
        <v>0</v>
      </c>
      <c r="K176" s="413">
        <v>0</v>
      </c>
      <c r="L176" s="413">
        <v>0</v>
      </c>
      <c r="M176" s="413">
        <v>0</v>
      </c>
      <c r="N176" s="413">
        <v>0</v>
      </c>
      <c r="O176" s="413">
        <v>0</v>
      </c>
      <c r="P176" s="413">
        <v>0</v>
      </c>
      <c r="Q176" s="413">
        <v>0</v>
      </c>
      <c r="R176" s="413">
        <v>0</v>
      </c>
      <c r="S176" s="413">
        <v>0</v>
      </c>
      <c r="T176" s="413">
        <v>0</v>
      </c>
      <c r="U176" s="413">
        <v>0</v>
      </c>
      <c r="V176" s="413">
        <v>0</v>
      </c>
      <c r="W176" s="413">
        <v>0</v>
      </c>
      <c r="X176" s="413">
        <v>0</v>
      </c>
      <c r="Y176" s="413">
        <v>0</v>
      </c>
      <c r="Z176" s="413">
        <v>0</v>
      </c>
      <c r="AA176" s="413">
        <v>0</v>
      </c>
      <c r="AB176" s="413">
        <v>0</v>
      </c>
      <c r="AC176" s="413">
        <v>0</v>
      </c>
      <c r="AD176" s="413">
        <v>0</v>
      </c>
      <c r="AE176" s="413">
        <v>0</v>
      </c>
      <c r="AF176" s="413">
        <v>0</v>
      </c>
      <c r="AG176" s="413">
        <v>0</v>
      </c>
      <c r="AH176" s="413">
        <v>0</v>
      </c>
      <c r="AI176" s="413">
        <v>0</v>
      </c>
      <c r="AJ176" s="413">
        <v>0</v>
      </c>
      <c r="AK176" s="413">
        <v>0</v>
      </c>
      <c r="AL176" s="413">
        <v>0</v>
      </c>
      <c r="AM176" s="413">
        <v>0</v>
      </c>
      <c r="AN176" s="413">
        <v>0</v>
      </c>
      <c r="AO176" s="413">
        <v>0</v>
      </c>
      <c r="AP176" s="413">
        <v>0</v>
      </c>
      <c r="AQ176" s="413">
        <v>0</v>
      </c>
      <c r="AR176" s="413">
        <v>0</v>
      </c>
      <c r="AS176" s="413">
        <v>0</v>
      </c>
      <c r="AT176" s="413">
        <v>0</v>
      </c>
      <c r="AU176" s="413"/>
      <c r="AV176" s="413"/>
      <c r="AW176" s="413"/>
      <c r="AX176" s="413"/>
      <c r="AY176" s="413"/>
      <c r="AZ176" s="413"/>
      <c r="BA176" s="413"/>
      <c r="BB176" s="413"/>
      <c r="BC176" s="413"/>
      <c r="BD176" s="413"/>
      <c r="BE176" s="413"/>
      <c r="BF176" s="413"/>
      <c r="BG176" s="413"/>
      <c r="BH176" s="413"/>
      <c r="BI176" s="413"/>
      <c r="BJ176" s="413"/>
      <c r="BK176" s="413"/>
      <c r="BL176" s="413"/>
      <c r="BM176" s="413"/>
      <c r="BN176" s="413"/>
      <c r="BO176" s="413"/>
      <c r="BP176" s="413"/>
      <c r="BQ176" s="413"/>
      <c r="BR176" s="413"/>
      <c r="BS176" s="413"/>
      <c r="BT176" s="413"/>
      <c r="BU176" s="413"/>
      <c r="BV176" s="413"/>
      <c r="BW176" s="413"/>
      <c r="BX176" s="413"/>
      <c r="BY176" s="413"/>
      <c r="BZ176" s="413"/>
      <c r="CA176" s="413"/>
      <c r="CB176" s="413"/>
    </row>
    <row r="177" spans="1:80" x14ac:dyDescent="0.25">
      <c r="B177" s="412">
        <v>526</v>
      </c>
      <c r="C177" s="302" t="s">
        <v>288</v>
      </c>
      <c r="D177" s="302">
        <v>0</v>
      </c>
      <c r="E177" s="413">
        <v>0</v>
      </c>
      <c r="F177" s="413">
        <v>0</v>
      </c>
      <c r="G177" s="413">
        <v>0</v>
      </c>
      <c r="H177" s="413">
        <v>0</v>
      </c>
      <c r="I177" s="413">
        <v>0</v>
      </c>
      <c r="J177" s="413">
        <v>0</v>
      </c>
      <c r="K177" s="413">
        <v>0</v>
      </c>
      <c r="L177" s="413">
        <v>0</v>
      </c>
      <c r="M177" s="413">
        <v>0</v>
      </c>
      <c r="N177" s="413">
        <v>0</v>
      </c>
      <c r="O177" s="413">
        <v>0</v>
      </c>
      <c r="P177" s="413">
        <v>0</v>
      </c>
      <c r="Q177" s="413">
        <v>0</v>
      </c>
      <c r="R177" s="413">
        <v>0</v>
      </c>
      <c r="S177" s="413">
        <v>0</v>
      </c>
      <c r="T177" s="413">
        <v>0</v>
      </c>
      <c r="U177" s="413">
        <v>0</v>
      </c>
      <c r="V177" s="413">
        <v>0</v>
      </c>
      <c r="W177" s="413">
        <v>0</v>
      </c>
      <c r="X177" s="413">
        <v>0</v>
      </c>
      <c r="Y177" s="413">
        <v>0</v>
      </c>
      <c r="Z177" s="413">
        <v>0</v>
      </c>
      <c r="AA177" s="413">
        <v>0</v>
      </c>
      <c r="AB177" s="413">
        <v>0</v>
      </c>
      <c r="AC177" s="413">
        <v>0</v>
      </c>
      <c r="AD177" s="413">
        <v>0</v>
      </c>
      <c r="AE177" s="413">
        <v>0</v>
      </c>
      <c r="AF177" s="413">
        <v>0</v>
      </c>
      <c r="AG177" s="413">
        <v>0</v>
      </c>
      <c r="AH177" s="413">
        <v>0</v>
      </c>
      <c r="AI177" s="413">
        <v>0</v>
      </c>
      <c r="AJ177" s="413">
        <v>0</v>
      </c>
      <c r="AK177" s="413">
        <v>0</v>
      </c>
      <c r="AL177" s="413">
        <v>0</v>
      </c>
      <c r="AM177" s="413">
        <v>0</v>
      </c>
      <c r="AN177" s="413">
        <v>0</v>
      </c>
      <c r="AO177" s="413">
        <v>0</v>
      </c>
      <c r="AP177" s="413">
        <v>0</v>
      </c>
      <c r="AQ177" s="413">
        <v>0</v>
      </c>
      <c r="AR177" s="413">
        <v>0</v>
      </c>
      <c r="AS177" s="413">
        <v>0</v>
      </c>
      <c r="AT177" s="413">
        <v>0</v>
      </c>
      <c r="AU177" s="413"/>
      <c r="AV177" s="413"/>
      <c r="AW177" s="413"/>
      <c r="AX177" s="413"/>
      <c r="AY177" s="413"/>
      <c r="AZ177" s="413"/>
      <c r="BA177" s="413"/>
      <c r="BB177" s="413"/>
      <c r="BC177" s="413"/>
      <c r="BD177" s="413"/>
      <c r="BE177" s="413"/>
      <c r="BF177" s="413"/>
      <c r="BG177" s="413"/>
      <c r="BH177" s="413"/>
      <c r="BI177" s="413"/>
      <c r="BJ177" s="413"/>
      <c r="BK177" s="413"/>
      <c r="BL177" s="413"/>
      <c r="BM177" s="413"/>
      <c r="BN177" s="413"/>
      <c r="BO177" s="413"/>
      <c r="BP177" s="413"/>
      <c r="BQ177" s="413"/>
      <c r="BR177" s="413"/>
      <c r="BS177" s="413"/>
      <c r="BT177" s="413"/>
      <c r="BU177" s="413"/>
      <c r="BV177" s="413"/>
      <c r="BW177" s="413"/>
      <c r="BX177" s="413"/>
      <c r="BY177" s="413"/>
      <c r="BZ177" s="413"/>
      <c r="CA177" s="413"/>
      <c r="CB177" s="413"/>
    </row>
    <row r="178" spans="1:80" x14ac:dyDescent="0.25">
      <c r="B178" s="412">
        <v>527</v>
      </c>
      <c r="C178" s="302" t="s">
        <v>289</v>
      </c>
      <c r="D178" s="302">
        <v>0</v>
      </c>
      <c r="E178" s="413">
        <v>0</v>
      </c>
      <c r="F178" s="413">
        <v>0</v>
      </c>
      <c r="G178" s="413">
        <v>0</v>
      </c>
      <c r="H178" s="413">
        <v>0</v>
      </c>
      <c r="I178" s="413">
        <v>0</v>
      </c>
      <c r="J178" s="413">
        <v>0</v>
      </c>
      <c r="K178" s="413">
        <v>0</v>
      </c>
      <c r="L178" s="413">
        <v>0</v>
      </c>
      <c r="M178" s="413">
        <v>0</v>
      </c>
      <c r="N178" s="413">
        <v>0</v>
      </c>
      <c r="O178" s="413">
        <v>0</v>
      </c>
      <c r="P178" s="413">
        <v>0</v>
      </c>
      <c r="Q178" s="413">
        <v>0</v>
      </c>
      <c r="R178" s="413">
        <v>0</v>
      </c>
      <c r="S178" s="413">
        <v>0</v>
      </c>
      <c r="T178" s="413">
        <v>0</v>
      </c>
      <c r="U178" s="413">
        <v>0</v>
      </c>
      <c r="V178" s="413">
        <v>0</v>
      </c>
      <c r="W178" s="413">
        <v>0</v>
      </c>
      <c r="X178" s="413">
        <v>0</v>
      </c>
      <c r="Y178" s="413">
        <v>0</v>
      </c>
      <c r="Z178" s="413">
        <v>0</v>
      </c>
      <c r="AA178" s="413">
        <v>0</v>
      </c>
      <c r="AB178" s="413">
        <v>0</v>
      </c>
      <c r="AC178" s="413">
        <v>0</v>
      </c>
      <c r="AD178" s="413">
        <v>0</v>
      </c>
      <c r="AE178" s="413">
        <v>0</v>
      </c>
      <c r="AF178" s="413">
        <v>0</v>
      </c>
      <c r="AG178" s="413">
        <v>0</v>
      </c>
      <c r="AH178" s="413">
        <v>0</v>
      </c>
      <c r="AI178" s="413">
        <v>0</v>
      </c>
      <c r="AJ178" s="413">
        <v>0</v>
      </c>
      <c r="AK178" s="413">
        <v>0</v>
      </c>
      <c r="AL178" s="413">
        <v>0</v>
      </c>
      <c r="AM178" s="413">
        <v>0</v>
      </c>
      <c r="AN178" s="413">
        <v>0</v>
      </c>
      <c r="AO178" s="413">
        <v>0</v>
      </c>
      <c r="AP178" s="413">
        <v>0</v>
      </c>
      <c r="AQ178" s="413">
        <v>0</v>
      </c>
      <c r="AR178" s="413">
        <v>0</v>
      </c>
      <c r="AS178" s="413">
        <v>0</v>
      </c>
      <c r="AT178" s="413">
        <v>0</v>
      </c>
      <c r="AU178" s="413"/>
      <c r="AV178" s="413"/>
      <c r="AW178" s="413"/>
      <c r="AX178" s="413"/>
      <c r="AY178" s="413"/>
      <c r="AZ178" s="413"/>
      <c r="BA178" s="413"/>
      <c r="BB178" s="413"/>
      <c r="BC178" s="413"/>
      <c r="BD178" s="413"/>
      <c r="BE178" s="413"/>
      <c r="BF178" s="413"/>
      <c r="BG178" s="413"/>
      <c r="BH178" s="413"/>
      <c r="BI178" s="413"/>
      <c r="BJ178" s="413"/>
      <c r="BK178" s="413"/>
      <c r="BL178" s="413"/>
      <c r="BM178" s="413"/>
      <c r="BN178" s="413"/>
      <c r="BO178" s="413"/>
      <c r="BP178" s="413"/>
      <c r="BQ178" s="413"/>
      <c r="BR178" s="413"/>
      <c r="BS178" s="413"/>
      <c r="BT178" s="413"/>
      <c r="BU178" s="413"/>
      <c r="BV178" s="413"/>
      <c r="BW178" s="413"/>
      <c r="BX178" s="413"/>
      <c r="BY178" s="413"/>
      <c r="BZ178" s="413"/>
      <c r="CA178" s="413"/>
      <c r="CB178" s="413"/>
    </row>
    <row r="179" spans="1:80" x14ac:dyDescent="0.25">
      <c r="B179" s="412">
        <v>528</v>
      </c>
      <c r="C179" s="302" t="s">
        <v>271</v>
      </c>
      <c r="D179" s="302">
        <v>0</v>
      </c>
      <c r="E179" s="413">
        <v>0</v>
      </c>
      <c r="F179" s="413">
        <v>0</v>
      </c>
      <c r="G179" s="413">
        <v>0</v>
      </c>
      <c r="H179" s="413">
        <v>0</v>
      </c>
      <c r="I179" s="413">
        <v>0</v>
      </c>
      <c r="J179" s="413">
        <v>0</v>
      </c>
      <c r="K179" s="413">
        <v>0</v>
      </c>
      <c r="L179" s="413">
        <v>0</v>
      </c>
      <c r="M179" s="413">
        <v>0</v>
      </c>
      <c r="N179" s="413">
        <v>0</v>
      </c>
      <c r="O179" s="413">
        <v>0</v>
      </c>
      <c r="P179" s="413">
        <v>0</v>
      </c>
      <c r="Q179" s="413">
        <v>0</v>
      </c>
      <c r="R179" s="413">
        <v>0</v>
      </c>
      <c r="S179" s="413">
        <v>0</v>
      </c>
      <c r="T179" s="413">
        <v>0</v>
      </c>
      <c r="U179" s="413">
        <v>0</v>
      </c>
      <c r="V179" s="413">
        <v>0</v>
      </c>
      <c r="W179" s="413">
        <v>0</v>
      </c>
      <c r="X179" s="413">
        <v>0</v>
      </c>
      <c r="Y179" s="413">
        <v>0</v>
      </c>
      <c r="Z179" s="413">
        <v>0</v>
      </c>
      <c r="AA179" s="413">
        <v>0</v>
      </c>
      <c r="AB179" s="413">
        <v>0</v>
      </c>
      <c r="AC179" s="413">
        <v>0</v>
      </c>
      <c r="AD179" s="413">
        <v>0</v>
      </c>
      <c r="AE179" s="413">
        <v>0</v>
      </c>
      <c r="AF179" s="413">
        <v>0</v>
      </c>
      <c r="AG179" s="413">
        <v>0</v>
      </c>
      <c r="AH179" s="413">
        <v>0</v>
      </c>
      <c r="AI179" s="413">
        <v>0</v>
      </c>
      <c r="AJ179" s="413">
        <v>0</v>
      </c>
      <c r="AK179" s="413">
        <v>0</v>
      </c>
      <c r="AL179" s="413">
        <v>0</v>
      </c>
      <c r="AM179" s="413">
        <v>0</v>
      </c>
      <c r="AN179" s="413">
        <v>0</v>
      </c>
      <c r="AO179" s="413">
        <v>0</v>
      </c>
      <c r="AP179" s="413">
        <v>0</v>
      </c>
      <c r="AQ179" s="413">
        <v>0</v>
      </c>
      <c r="AR179" s="413">
        <v>0</v>
      </c>
      <c r="AS179" s="413">
        <v>0</v>
      </c>
      <c r="AT179" s="413">
        <v>0</v>
      </c>
      <c r="AU179" s="413"/>
      <c r="AV179" s="413"/>
      <c r="AW179" s="413"/>
      <c r="AX179" s="413"/>
      <c r="AY179" s="413"/>
      <c r="AZ179" s="413"/>
      <c r="BA179" s="413"/>
      <c r="BB179" s="413"/>
      <c r="BC179" s="413"/>
      <c r="BD179" s="413"/>
      <c r="BE179" s="413"/>
      <c r="BF179" s="413"/>
      <c r="BG179" s="413"/>
      <c r="BH179" s="413"/>
      <c r="BI179" s="413"/>
      <c r="BJ179" s="413"/>
      <c r="BK179" s="413"/>
      <c r="BL179" s="413"/>
      <c r="BM179" s="413"/>
      <c r="BN179" s="413"/>
      <c r="BO179" s="413"/>
      <c r="BP179" s="413"/>
      <c r="BQ179" s="413"/>
      <c r="BR179" s="413"/>
      <c r="BS179" s="413"/>
      <c r="BT179" s="413"/>
      <c r="BU179" s="413"/>
      <c r="BV179" s="413"/>
      <c r="BW179" s="413"/>
      <c r="BX179" s="413"/>
      <c r="BY179" s="413"/>
      <c r="BZ179" s="413"/>
      <c r="CA179" s="413"/>
      <c r="CB179" s="413"/>
    </row>
    <row r="180" spans="1:80" x14ac:dyDescent="0.25">
      <c r="B180" s="412">
        <v>529</v>
      </c>
      <c r="C180" s="302" t="s">
        <v>272</v>
      </c>
      <c r="D180" s="302">
        <v>0</v>
      </c>
      <c r="E180" s="413">
        <v>0</v>
      </c>
      <c r="F180" s="413">
        <v>0</v>
      </c>
      <c r="G180" s="413">
        <v>0</v>
      </c>
      <c r="H180" s="413">
        <v>0</v>
      </c>
      <c r="I180" s="413">
        <v>0</v>
      </c>
      <c r="J180" s="413">
        <v>0</v>
      </c>
      <c r="K180" s="413">
        <v>0</v>
      </c>
      <c r="L180" s="413">
        <v>0</v>
      </c>
      <c r="M180" s="413">
        <v>0</v>
      </c>
      <c r="N180" s="413">
        <v>0</v>
      </c>
      <c r="O180" s="413">
        <v>0</v>
      </c>
      <c r="P180" s="413">
        <v>0</v>
      </c>
      <c r="Q180" s="413">
        <v>0</v>
      </c>
      <c r="R180" s="413">
        <v>0</v>
      </c>
      <c r="S180" s="413">
        <v>0</v>
      </c>
      <c r="T180" s="413">
        <v>0</v>
      </c>
      <c r="U180" s="413">
        <v>0</v>
      </c>
      <c r="V180" s="413">
        <v>0</v>
      </c>
      <c r="W180" s="413">
        <v>0</v>
      </c>
      <c r="X180" s="413">
        <v>0</v>
      </c>
      <c r="Y180" s="413">
        <v>0</v>
      </c>
      <c r="Z180" s="413">
        <v>0</v>
      </c>
      <c r="AA180" s="413">
        <v>0</v>
      </c>
      <c r="AB180" s="413">
        <v>0</v>
      </c>
      <c r="AC180" s="413">
        <v>0</v>
      </c>
      <c r="AD180" s="413">
        <v>0</v>
      </c>
      <c r="AE180" s="413">
        <v>0</v>
      </c>
      <c r="AF180" s="413">
        <v>0</v>
      </c>
      <c r="AG180" s="413">
        <v>0</v>
      </c>
      <c r="AH180" s="413">
        <v>0</v>
      </c>
      <c r="AI180" s="413">
        <v>0</v>
      </c>
      <c r="AJ180" s="413">
        <v>0</v>
      </c>
      <c r="AK180" s="413">
        <v>0</v>
      </c>
      <c r="AL180" s="413">
        <v>0</v>
      </c>
      <c r="AM180" s="413">
        <v>0</v>
      </c>
      <c r="AN180" s="413">
        <v>0</v>
      </c>
      <c r="AO180" s="413">
        <v>0</v>
      </c>
      <c r="AP180" s="413">
        <v>0</v>
      </c>
      <c r="AQ180" s="413">
        <v>0</v>
      </c>
      <c r="AR180" s="413">
        <v>0</v>
      </c>
      <c r="AS180" s="413">
        <v>0</v>
      </c>
      <c r="AT180" s="413">
        <v>0</v>
      </c>
      <c r="AU180" s="413"/>
      <c r="AV180" s="413"/>
      <c r="AW180" s="413"/>
      <c r="AX180" s="413"/>
      <c r="AY180" s="413"/>
      <c r="AZ180" s="413"/>
      <c r="BA180" s="413"/>
      <c r="BB180" s="413"/>
      <c r="BC180" s="413"/>
      <c r="BD180" s="413"/>
      <c r="BE180" s="413"/>
      <c r="BF180" s="413"/>
      <c r="BG180" s="413"/>
      <c r="BH180" s="413"/>
      <c r="BI180" s="413"/>
      <c r="BJ180" s="413"/>
      <c r="BK180" s="413"/>
      <c r="BL180" s="413"/>
      <c r="BM180" s="413"/>
      <c r="BN180" s="413"/>
      <c r="BO180" s="413"/>
      <c r="BP180" s="413"/>
      <c r="BQ180" s="413"/>
      <c r="BR180" s="413"/>
      <c r="BS180" s="413"/>
      <c r="BT180" s="413"/>
      <c r="BU180" s="413"/>
      <c r="BV180" s="413"/>
      <c r="BW180" s="413"/>
      <c r="BX180" s="413"/>
      <c r="BY180" s="413"/>
      <c r="BZ180" s="413"/>
      <c r="CA180" s="413"/>
      <c r="CB180" s="413"/>
    </row>
    <row r="181" spans="1:80" x14ac:dyDescent="0.25">
      <c r="B181" s="412">
        <v>530</v>
      </c>
      <c r="C181" s="302" t="s">
        <v>273</v>
      </c>
      <c r="D181" s="302">
        <v>0</v>
      </c>
      <c r="E181" s="413">
        <v>0</v>
      </c>
      <c r="F181" s="413">
        <v>0</v>
      </c>
      <c r="G181" s="413">
        <v>0</v>
      </c>
      <c r="H181" s="413">
        <v>0</v>
      </c>
      <c r="I181" s="413">
        <v>0</v>
      </c>
      <c r="J181" s="413">
        <v>0</v>
      </c>
      <c r="K181" s="413">
        <v>0</v>
      </c>
      <c r="L181" s="413">
        <v>0</v>
      </c>
      <c r="M181" s="413">
        <v>0</v>
      </c>
      <c r="N181" s="413">
        <v>0</v>
      </c>
      <c r="O181" s="413">
        <v>0</v>
      </c>
      <c r="P181" s="413">
        <v>0</v>
      </c>
      <c r="Q181" s="413">
        <v>0</v>
      </c>
      <c r="R181" s="413">
        <v>0</v>
      </c>
      <c r="S181" s="413">
        <v>0</v>
      </c>
      <c r="T181" s="413">
        <v>0</v>
      </c>
      <c r="U181" s="413">
        <v>0</v>
      </c>
      <c r="V181" s="413">
        <v>0</v>
      </c>
      <c r="W181" s="413">
        <v>0</v>
      </c>
      <c r="X181" s="413">
        <v>0</v>
      </c>
      <c r="Y181" s="413">
        <v>0</v>
      </c>
      <c r="Z181" s="413">
        <v>0</v>
      </c>
      <c r="AA181" s="413">
        <v>0</v>
      </c>
      <c r="AB181" s="413">
        <v>0</v>
      </c>
      <c r="AC181" s="413">
        <v>0</v>
      </c>
      <c r="AD181" s="413">
        <v>0</v>
      </c>
      <c r="AE181" s="413">
        <v>0</v>
      </c>
      <c r="AF181" s="413">
        <v>0</v>
      </c>
      <c r="AG181" s="413">
        <v>0</v>
      </c>
      <c r="AH181" s="413">
        <v>0</v>
      </c>
      <c r="AI181" s="413">
        <v>0</v>
      </c>
      <c r="AJ181" s="413">
        <v>0</v>
      </c>
      <c r="AK181" s="413">
        <v>0</v>
      </c>
      <c r="AL181" s="413">
        <v>0</v>
      </c>
      <c r="AM181" s="413">
        <v>0</v>
      </c>
      <c r="AN181" s="413">
        <v>0</v>
      </c>
      <c r="AO181" s="413">
        <v>0</v>
      </c>
      <c r="AP181" s="413">
        <v>0</v>
      </c>
      <c r="AQ181" s="413">
        <v>0</v>
      </c>
      <c r="AR181" s="413">
        <v>0</v>
      </c>
      <c r="AS181" s="413">
        <v>0</v>
      </c>
      <c r="AT181" s="413">
        <v>0</v>
      </c>
      <c r="AU181" s="413"/>
      <c r="AV181" s="413"/>
      <c r="AW181" s="413"/>
      <c r="AX181" s="413"/>
      <c r="AY181" s="413"/>
      <c r="AZ181" s="413"/>
      <c r="BA181" s="413"/>
      <c r="BB181" s="413"/>
      <c r="BC181" s="413"/>
      <c r="BD181" s="413"/>
      <c r="BE181" s="413"/>
      <c r="BF181" s="413"/>
      <c r="BG181" s="413"/>
      <c r="BH181" s="413"/>
      <c r="BI181" s="413"/>
      <c r="BJ181" s="413"/>
      <c r="BK181" s="413"/>
      <c r="BL181" s="413"/>
      <c r="BM181" s="413"/>
      <c r="BN181" s="413"/>
      <c r="BO181" s="413"/>
      <c r="BP181" s="413"/>
      <c r="BQ181" s="413"/>
      <c r="BR181" s="413"/>
      <c r="BS181" s="413"/>
      <c r="BT181" s="413"/>
      <c r="BU181" s="413"/>
      <c r="BV181" s="413"/>
      <c r="BW181" s="413"/>
      <c r="BX181" s="413"/>
      <c r="BY181" s="413"/>
      <c r="BZ181" s="413"/>
      <c r="CA181" s="413"/>
      <c r="CB181" s="413"/>
    </row>
    <row r="182" spans="1:80" x14ac:dyDescent="0.25">
      <c r="B182" s="412">
        <v>531</v>
      </c>
      <c r="C182" s="302" t="s">
        <v>274</v>
      </c>
      <c r="D182" s="302">
        <v>0</v>
      </c>
      <c r="E182" s="413">
        <v>0</v>
      </c>
      <c r="F182" s="413">
        <v>0</v>
      </c>
      <c r="G182" s="413">
        <v>0</v>
      </c>
      <c r="H182" s="413">
        <v>0</v>
      </c>
      <c r="I182" s="413">
        <v>0</v>
      </c>
      <c r="J182" s="413">
        <v>0</v>
      </c>
      <c r="K182" s="413">
        <v>0</v>
      </c>
      <c r="L182" s="413">
        <v>0</v>
      </c>
      <c r="M182" s="413">
        <v>0</v>
      </c>
      <c r="N182" s="413">
        <v>0</v>
      </c>
      <c r="O182" s="413">
        <v>0</v>
      </c>
      <c r="P182" s="413">
        <v>0</v>
      </c>
      <c r="Q182" s="413">
        <v>0</v>
      </c>
      <c r="R182" s="413">
        <v>0</v>
      </c>
      <c r="S182" s="413">
        <v>0</v>
      </c>
      <c r="T182" s="413">
        <v>0</v>
      </c>
      <c r="U182" s="413">
        <v>0</v>
      </c>
      <c r="V182" s="413">
        <v>0</v>
      </c>
      <c r="W182" s="413">
        <v>0</v>
      </c>
      <c r="X182" s="413">
        <v>0</v>
      </c>
      <c r="Y182" s="413">
        <v>0</v>
      </c>
      <c r="Z182" s="413">
        <v>0</v>
      </c>
      <c r="AA182" s="413">
        <v>0</v>
      </c>
      <c r="AB182" s="413">
        <v>0</v>
      </c>
      <c r="AC182" s="413">
        <v>0</v>
      </c>
      <c r="AD182" s="413">
        <v>0</v>
      </c>
      <c r="AE182" s="413">
        <v>0</v>
      </c>
      <c r="AF182" s="413">
        <v>0</v>
      </c>
      <c r="AG182" s="413">
        <v>0</v>
      </c>
      <c r="AH182" s="413">
        <v>0</v>
      </c>
      <c r="AI182" s="413">
        <v>0</v>
      </c>
      <c r="AJ182" s="413">
        <v>0</v>
      </c>
      <c r="AK182" s="413">
        <v>0</v>
      </c>
      <c r="AL182" s="413">
        <v>0</v>
      </c>
      <c r="AM182" s="413">
        <v>0</v>
      </c>
      <c r="AN182" s="413">
        <v>0</v>
      </c>
      <c r="AO182" s="413">
        <v>0</v>
      </c>
      <c r="AP182" s="413">
        <v>0</v>
      </c>
      <c r="AQ182" s="413">
        <v>0</v>
      </c>
      <c r="AR182" s="413">
        <v>0</v>
      </c>
      <c r="AS182" s="413">
        <v>0</v>
      </c>
      <c r="AT182" s="413">
        <v>0</v>
      </c>
      <c r="AU182" s="413"/>
      <c r="AV182" s="413"/>
      <c r="AW182" s="413"/>
      <c r="AX182" s="413"/>
      <c r="AY182" s="413"/>
      <c r="AZ182" s="413"/>
      <c r="BA182" s="413"/>
      <c r="BB182" s="413"/>
      <c r="BC182" s="413"/>
      <c r="BD182" s="413"/>
      <c r="BE182" s="413"/>
      <c r="BF182" s="413"/>
      <c r="BG182" s="413"/>
      <c r="BH182" s="413"/>
      <c r="BI182" s="413"/>
      <c r="BJ182" s="413"/>
      <c r="BK182" s="413"/>
      <c r="BL182" s="413"/>
      <c r="BM182" s="413"/>
      <c r="BN182" s="413"/>
      <c r="BO182" s="413"/>
      <c r="BP182" s="413"/>
      <c r="BQ182" s="413"/>
      <c r="BR182" s="413"/>
      <c r="BS182" s="413"/>
      <c r="BT182" s="413"/>
      <c r="BU182" s="413"/>
      <c r="BV182" s="413"/>
      <c r="BW182" s="413"/>
      <c r="BX182" s="413"/>
      <c r="BY182" s="413"/>
      <c r="BZ182" s="413"/>
      <c r="CA182" s="413"/>
      <c r="CB182" s="413"/>
    </row>
    <row r="183" spans="1:80" x14ac:dyDescent="0.25">
      <c r="A183" s="302">
        <v>532</v>
      </c>
      <c r="B183" s="412">
        <v>532</v>
      </c>
      <c r="C183" s="302" t="s">
        <v>361</v>
      </c>
      <c r="D183" s="302">
        <v>0</v>
      </c>
      <c r="E183" s="413">
        <v>0</v>
      </c>
      <c r="F183" s="413">
        <v>7736562</v>
      </c>
      <c r="G183" s="413">
        <v>0</v>
      </c>
      <c r="H183" s="413">
        <v>0</v>
      </c>
      <c r="I183" s="413">
        <v>331750</v>
      </c>
      <c r="J183" s="413">
        <v>2401693</v>
      </c>
      <c r="K183" s="413">
        <v>0</v>
      </c>
      <c r="L183" s="413">
        <v>0</v>
      </c>
      <c r="M183" s="413">
        <v>0</v>
      </c>
      <c r="N183" s="413">
        <v>0</v>
      </c>
      <c r="O183" s="413">
        <v>0</v>
      </c>
      <c r="P183" s="413">
        <v>0</v>
      </c>
      <c r="Q183" s="413">
        <v>0</v>
      </c>
      <c r="R183" s="413">
        <v>27765</v>
      </c>
      <c r="S183" s="413">
        <v>0</v>
      </c>
      <c r="T183" s="413">
        <v>99348</v>
      </c>
      <c r="U183" s="413">
        <v>2235670</v>
      </c>
      <c r="V183" s="413">
        <v>0</v>
      </c>
      <c r="W183" s="413">
        <v>179449</v>
      </c>
      <c r="X183" s="413">
        <v>0</v>
      </c>
      <c r="Y183" s="413">
        <v>11031</v>
      </c>
      <c r="Z183" s="413">
        <v>212918</v>
      </c>
      <c r="AA183" s="413">
        <v>0</v>
      </c>
      <c r="AB183" s="413">
        <v>121229</v>
      </c>
      <c r="AC183" s="413">
        <v>65162</v>
      </c>
      <c r="AD183" s="413">
        <v>679545</v>
      </c>
      <c r="AE183" s="413">
        <v>62063038</v>
      </c>
      <c r="AF183" s="413">
        <v>0</v>
      </c>
      <c r="AG183" s="413">
        <v>11484</v>
      </c>
      <c r="AH183" s="413">
        <v>0</v>
      </c>
      <c r="AI183" s="413">
        <v>7720612</v>
      </c>
      <c r="AJ183" s="413">
        <v>1984189</v>
      </c>
      <c r="AK183" s="413">
        <v>6143349</v>
      </c>
      <c r="AL183" s="413">
        <v>156426</v>
      </c>
      <c r="AM183" s="413">
        <v>67850</v>
      </c>
      <c r="AN183" s="413">
        <v>57170</v>
      </c>
      <c r="AO183" s="413">
        <v>5558</v>
      </c>
      <c r="AP183" s="413">
        <v>29139</v>
      </c>
      <c r="AQ183" s="413">
        <v>1953808</v>
      </c>
      <c r="AR183" s="413">
        <v>0</v>
      </c>
      <c r="AS183" s="413">
        <v>0</v>
      </c>
      <c r="AT183" s="413">
        <v>72042</v>
      </c>
      <c r="AU183" s="413"/>
      <c r="AV183" s="413"/>
      <c r="AW183" s="413"/>
      <c r="AX183" s="413"/>
      <c r="AY183" s="413"/>
      <c r="AZ183" s="413"/>
      <c r="BA183" s="413"/>
      <c r="BB183" s="413"/>
      <c r="BC183" s="413"/>
      <c r="BD183" s="413"/>
      <c r="BE183" s="413"/>
      <c r="BF183" s="413"/>
      <c r="BG183" s="413"/>
      <c r="BH183" s="413"/>
      <c r="BI183" s="413"/>
      <c r="BJ183" s="413"/>
      <c r="BK183" s="413"/>
      <c r="BL183" s="413"/>
      <c r="BM183" s="413"/>
      <c r="BN183" s="413"/>
      <c r="BO183" s="413"/>
      <c r="BP183" s="413"/>
      <c r="BQ183" s="413"/>
      <c r="BR183" s="413"/>
      <c r="BS183" s="413"/>
      <c r="BT183" s="413"/>
      <c r="BU183" s="413"/>
      <c r="BV183" s="413"/>
      <c r="BW183" s="413"/>
      <c r="BX183" s="413"/>
      <c r="BY183" s="413"/>
      <c r="BZ183" s="413"/>
      <c r="CA183" s="413"/>
      <c r="CB183" s="413"/>
    </row>
    <row r="184" spans="1:80" x14ac:dyDescent="0.25">
      <c r="A184" s="302">
        <v>533</v>
      </c>
      <c r="B184" s="412">
        <v>533</v>
      </c>
      <c r="C184" s="302" t="s">
        <v>362</v>
      </c>
      <c r="D184" s="302">
        <v>0</v>
      </c>
      <c r="E184" s="413">
        <v>0</v>
      </c>
      <c r="F184" s="413">
        <v>0</v>
      </c>
      <c r="G184" s="413">
        <v>0</v>
      </c>
      <c r="H184" s="413">
        <v>0</v>
      </c>
      <c r="I184" s="413">
        <v>0</v>
      </c>
      <c r="J184" s="413">
        <v>0</v>
      </c>
      <c r="K184" s="413">
        <v>0</v>
      </c>
      <c r="L184" s="413">
        <v>0</v>
      </c>
      <c r="M184" s="413">
        <v>0</v>
      </c>
      <c r="N184" s="413">
        <v>0</v>
      </c>
      <c r="O184" s="413">
        <v>0</v>
      </c>
      <c r="P184" s="413">
        <v>0</v>
      </c>
      <c r="Q184" s="413">
        <v>0</v>
      </c>
      <c r="R184" s="413">
        <v>0</v>
      </c>
      <c r="S184" s="413">
        <v>0</v>
      </c>
      <c r="T184" s="413">
        <v>0</v>
      </c>
      <c r="U184" s="413">
        <v>0</v>
      </c>
      <c r="V184" s="413">
        <v>0</v>
      </c>
      <c r="W184" s="413">
        <v>0</v>
      </c>
      <c r="X184" s="413">
        <v>0</v>
      </c>
      <c r="Y184" s="413">
        <v>0</v>
      </c>
      <c r="Z184" s="413">
        <v>0</v>
      </c>
      <c r="AA184" s="413">
        <v>0</v>
      </c>
      <c r="AB184" s="413">
        <v>0</v>
      </c>
      <c r="AC184" s="413">
        <v>0</v>
      </c>
      <c r="AD184" s="413">
        <v>0</v>
      </c>
      <c r="AE184" s="413">
        <v>0</v>
      </c>
      <c r="AF184" s="413">
        <v>0</v>
      </c>
      <c r="AG184" s="413">
        <v>0</v>
      </c>
      <c r="AH184" s="413">
        <v>0</v>
      </c>
      <c r="AI184" s="413">
        <v>0</v>
      </c>
      <c r="AJ184" s="413">
        <v>0</v>
      </c>
      <c r="AK184" s="413">
        <v>0</v>
      </c>
      <c r="AL184" s="413">
        <v>0</v>
      </c>
      <c r="AM184" s="413">
        <v>3311</v>
      </c>
      <c r="AN184" s="413">
        <v>0</v>
      </c>
      <c r="AO184" s="413">
        <v>0</v>
      </c>
      <c r="AP184" s="413">
        <v>0</v>
      </c>
      <c r="AQ184" s="413">
        <v>0</v>
      </c>
      <c r="AR184" s="413">
        <v>0</v>
      </c>
      <c r="AS184" s="413">
        <v>0</v>
      </c>
      <c r="AT184" s="413">
        <v>0</v>
      </c>
      <c r="AU184" s="413"/>
      <c r="AV184" s="413"/>
      <c r="AW184" s="413"/>
      <c r="AX184" s="413"/>
      <c r="AY184" s="413"/>
      <c r="AZ184" s="413"/>
      <c r="BA184" s="413"/>
      <c r="BB184" s="413"/>
      <c r="BC184" s="413"/>
      <c r="BD184" s="413"/>
      <c r="BE184" s="413"/>
      <c r="BF184" s="413"/>
      <c r="BG184" s="413"/>
      <c r="BH184" s="413"/>
      <c r="BI184" s="413"/>
      <c r="BJ184" s="413"/>
      <c r="BK184" s="413"/>
      <c r="BL184" s="413"/>
      <c r="BM184" s="413"/>
      <c r="BN184" s="413"/>
      <c r="BO184" s="413"/>
      <c r="BP184" s="413"/>
      <c r="BQ184" s="413"/>
      <c r="BR184" s="413"/>
      <c r="BS184" s="413"/>
      <c r="BT184" s="413"/>
      <c r="BU184" s="413"/>
      <c r="BV184" s="413"/>
      <c r="BW184" s="413"/>
      <c r="BX184" s="413"/>
      <c r="BY184" s="413"/>
      <c r="BZ184" s="413"/>
      <c r="CA184" s="413"/>
      <c r="CB184" s="413"/>
    </row>
    <row r="185" spans="1:80" x14ac:dyDescent="0.25">
      <c r="A185" s="302">
        <v>534</v>
      </c>
      <c r="B185" s="412">
        <v>534</v>
      </c>
      <c r="C185" s="302" t="s">
        <v>275</v>
      </c>
      <c r="D185" s="302">
        <v>0</v>
      </c>
      <c r="E185" s="413">
        <v>0</v>
      </c>
      <c r="F185" s="413">
        <v>0</v>
      </c>
      <c r="G185" s="413">
        <v>0</v>
      </c>
      <c r="H185" s="413">
        <v>0</v>
      </c>
      <c r="I185" s="413">
        <v>0</v>
      </c>
      <c r="J185" s="413">
        <v>0</v>
      </c>
      <c r="K185" s="413">
        <v>0</v>
      </c>
      <c r="L185" s="413">
        <v>0</v>
      </c>
      <c r="M185" s="413">
        <v>0</v>
      </c>
      <c r="N185" s="413">
        <v>0</v>
      </c>
      <c r="O185" s="413">
        <v>0</v>
      </c>
      <c r="P185" s="413">
        <v>0</v>
      </c>
      <c r="Q185" s="413">
        <v>0</v>
      </c>
      <c r="R185" s="413">
        <v>0</v>
      </c>
      <c r="S185" s="413">
        <v>0</v>
      </c>
      <c r="T185" s="413">
        <v>0</v>
      </c>
      <c r="U185" s="413">
        <v>0</v>
      </c>
      <c r="V185" s="413">
        <v>0</v>
      </c>
      <c r="W185" s="413">
        <v>0</v>
      </c>
      <c r="X185" s="413">
        <v>0</v>
      </c>
      <c r="Y185" s="413">
        <v>0</v>
      </c>
      <c r="Z185" s="413">
        <v>0</v>
      </c>
      <c r="AA185" s="413">
        <v>0</v>
      </c>
      <c r="AB185" s="413">
        <v>0</v>
      </c>
      <c r="AC185" s="413">
        <v>0</v>
      </c>
      <c r="AD185" s="413">
        <v>0</v>
      </c>
      <c r="AE185" s="413">
        <v>0</v>
      </c>
      <c r="AF185" s="413">
        <v>0</v>
      </c>
      <c r="AG185" s="413">
        <v>0</v>
      </c>
      <c r="AH185" s="413">
        <v>0</v>
      </c>
      <c r="AI185" s="413">
        <v>0</v>
      </c>
      <c r="AJ185" s="413">
        <v>0</v>
      </c>
      <c r="AK185" s="413">
        <v>0</v>
      </c>
      <c r="AL185" s="413">
        <v>0</v>
      </c>
      <c r="AM185" s="413">
        <v>0</v>
      </c>
      <c r="AN185" s="413">
        <v>0</v>
      </c>
      <c r="AO185" s="413">
        <v>0</v>
      </c>
      <c r="AP185" s="413">
        <v>0</v>
      </c>
      <c r="AQ185" s="413">
        <v>0</v>
      </c>
      <c r="AR185" s="413">
        <v>0</v>
      </c>
      <c r="AS185" s="413">
        <v>0</v>
      </c>
      <c r="AT185" s="413">
        <v>0</v>
      </c>
      <c r="AU185" s="413"/>
      <c r="AV185" s="413"/>
      <c r="AW185" s="413"/>
      <c r="AX185" s="413"/>
      <c r="AY185" s="413"/>
      <c r="AZ185" s="413"/>
      <c r="BA185" s="413"/>
      <c r="BB185" s="413"/>
      <c r="BC185" s="413"/>
      <c r="BD185" s="413"/>
      <c r="BE185" s="413"/>
      <c r="BF185" s="413"/>
      <c r="BG185" s="413"/>
      <c r="BH185" s="413"/>
      <c r="BI185" s="413"/>
      <c r="BJ185" s="413"/>
      <c r="BK185" s="413"/>
      <c r="BL185" s="413"/>
      <c r="BM185" s="413"/>
      <c r="BN185" s="413"/>
      <c r="BO185" s="413"/>
      <c r="BP185" s="413"/>
      <c r="BQ185" s="413"/>
      <c r="BR185" s="413"/>
      <c r="BS185" s="413"/>
      <c r="BT185" s="413"/>
      <c r="BU185" s="413"/>
      <c r="BV185" s="413"/>
      <c r="BW185" s="413"/>
      <c r="BX185" s="413"/>
      <c r="BY185" s="413"/>
      <c r="BZ185" s="413"/>
      <c r="CA185" s="413"/>
      <c r="CB185" s="413"/>
    </row>
    <row r="186" spans="1:80" x14ac:dyDescent="0.25">
      <c r="A186" s="302">
        <v>535</v>
      </c>
      <c r="B186" s="412">
        <v>535</v>
      </c>
      <c r="C186" s="302" t="s">
        <v>253</v>
      </c>
      <c r="D186" s="302">
        <v>0</v>
      </c>
      <c r="E186" s="413">
        <v>0</v>
      </c>
      <c r="F186" s="413">
        <v>0</v>
      </c>
      <c r="G186" s="413">
        <v>0</v>
      </c>
      <c r="H186" s="413">
        <v>0</v>
      </c>
      <c r="I186" s="413">
        <v>0</v>
      </c>
      <c r="J186" s="413">
        <v>0</v>
      </c>
      <c r="K186" s="413">
        <v>0</v>
      </c>
      <c r="L186" s="413">
        <v>0</v>
      </c>
      <c r="M186" s="413">
        <v>0</v>
      </c>
      <c r="N186" s="413">
        <v>0</v>
      </c>
      <c r="O186" s="413">
        <v>0</v>
      </c>
      <c r="P186" s="413">
        <v>0</v>
      </c>
      <c r="Q186" s="413">
        <v>0</v>
      </c>
      <c r="R186" s="413">
        <v>0</v>
      </c>
      <c r="S186" s="413">
        <v>0</v>
      </c>
      <c r="T186" s="413">
        <v>0</v>
      </c>
      <c r="U186" s="413">
        <v>0</v>
      </c>
      <c r="V186" s="413">
        <v>0</v>
      </c>
      <c r="W186" s="413">
        <v>0</v>
      </c>
      <c r="X186" s="413">
        <v>0</v>
      </c>
      <c r="Y186" s="413">
        <v>0</v>
      </c>
      <c r="Z186" s="413">
        <v>0</v>
      </c>
      <c r="AA186" s="413">
        <v>0</v>
      </c>
      <c r="AB186" s="413">
        <v>0</v>
      </c>
      <c r="AC186" s="413">
        <v>0</v>
      </c>
      <c r="AD186" s="413">
        <v>0</v>
      </c>
      <c r="AE186" s="413">
        <v>0</v>
      </c>
      <c r="AF186" s="413">
        <v>0</v>
      </c>
      <c r="AG186" s="413">
        <v>0</v>
      </c>
      <c r="AH186" s="413">
        <v>0</v>
      </c>
      <c r="AI186" s="413">
        <v>0</v>
      </c>
      <c r="AJ186" s="413">
        <v>0</v>
      </c>
      <c r="AK186" s="413">
        <v>0</v>
      </c>
      <c r="AL186" s="413">
        <v>0</v>
      </c>
      <c r="AM186" s="413">
        <v>0</v>
      </c>
      <c r="AN186" s="413">
        <v>0</v>
      </c>
      <c r="AO186" s="413">
        <v>0</v>
      </c>
      <c r="AP186" s="413">
        <v>0</v>
      </c>
      <c r="AQ186" s="413">
        <v>0</v>
      </c>
      <c r="AR186" s="413">
        <v>0</v>
      </c>
      <c r="AS186" s="413">
        <v>0</v>
      </c>
      <c r="AT186" s="413">
        <v>0</v>
      </c>
      <c r="AU186" s="413"/>
      <c r="AV186" s="413"/>
      <c r="AW186" s="413"/>
      <c r="AX186" s="413"/>
      <c r="AY186" s="413"/>
      <c r="AZ186" s="413"/>
      <c r="BA186" s="413"/>
      <c r="BB186" s="413"/>
      <c r="BC186" s="413"/>
      <c r="BD186" s="413"/>
      <c r="BE186" s="413"/>
      <c r="BF186" s="413"/>
      <c r="BG186" s="413"/>
      <c r="BH186" s="413"/>
      <c r="BI186" s="413"/>
      <c r="BJ186" s="413"/>
      <c r="BK186" s="413"/>
      <c r="BL186" s="413"/>
      <c r="BM186" s="413"/>
      <c r="BN186" s="413"/>
      <c r="BO186" s="413"/>
      <c r="BP186" s="413"/>
      <c r="BQ186" s="413"/>
      <c r="BR186" s="413"/>
      <c r="BS186" s="413"/>
      <c r="BT186" s="413"/>
      <c r="BU186" s="413"/>
      <c r="BV186" s="413"/>
      <c r="BW186" s="413"/>
      <c r="BX186" s="413"/>
      <c r="BY186" s="413"/>
      <c r="BZ186" s="413"/>
      <c r="CA186" s="413"/>
      <c r="CB186" s="413"/>
    </row>
    <row r="187" spans="1:80" x14ac:dyDescent="0.25">
      <c r="A187" s="302">
        <v>536</v>
      </c>
      <c r="B187" s="412">
        <v>536</v>
      </c>
      <c r="C187" s="302" t="s">
        <v>199</v>
      </c>
      <c r="D187" s="302">
        <v>0</v>
      </c>
      <c r="E187" s="414">
        <v>0</v>
      </c>
      <c r="F187" s="414">
        <v>0</v>
      </c>
      <c r="G187" s="414">
        <v>0</v>
      </c>
      <c r="H187" s="414">
        <v>0</v>
      </c>
      <c r="I187" s="414">
        <v>2725</v>
      </c>
      <c r="J187" s="414">
        <v>0</v>
      </c>
      <c r="K187" s="414">
        <v>0</v>
      </c>
      <c r="L187" s="414">
        <v>0</v>
      </c>
      <c r="M187" s="414">
        <v>0</v>
      </c>
      <c r="N187" s="414">
        <v>0</v>
      </c>
      <c r="O187" s="414">
        <v>0</v>
      </c>
      <c r="P187" s="414">
        <v>0</v>
      </c>
      <c r="Q187" s="414">
        <v>0</v>
      </c>
      <c r="R187" s="414">
        <v>0</v>
      </c>
      <c r="S187" s="414">
        <v>16628</v>
      </c>
      <c r="T187" s="414">
        <v>0</v>
      </c>
      <c r="U187" s="414">
        <v>0</v>
      </c>
      <c r="V187" s="414">
        <v>0</v>
      </c>
      <c r="W187" s="414">
        <v>0</v>
      </c>
      <c r="X187" s="414">
        <v>0</v>
      </c>
      <c r="Y187" s="414">
        <v>0</v>
      </c>
      <c r="Z187" s="414">
        <v>0</v>
      </c>
      <c r="AA187" s="414">
        <v>0</v>
      </c>
      <c r="AB187" s="414">
        <v>0</v>
      </c>
      <c r="AC187" s="414">
        <v>0</v>
      </c>
      <c r="AD187" s="414">
        <v>0</v>
      </c>
      <c r="AE187" s="414">
        <v>0</v>
      </c>
      <c r="AF187" s="414">
        <v>0</v>
      </c>
      <c r="AG187" s="414">
        <v>0</v>
      </c>
      <c r="AH187" s="414">
        <v>0</v>
      </c>
      <c r="AI187" s="414">
        <v>1115307</v>
      </c>
      <c r="AJ187" s="414">
        <v>1755986</v>
      </c>
      <c r="AK187" s="414">
        <v>0</v>
      </c>
      <c r="AL187" s="414">
        <v>0</v>
      </c>
      <c r="AM187" s="414">
        <v>20694</v>
      </c>
      <c r="AN187" s="414">
        <v>100000</v>
      </c>
      <c r="AO187" s="414">
        <v>0</v>
      </c>
      <c r="AP187" s="414">
        <v>0</v>
      </c>
      <c r="AQ187" s="414">
        <v>0</v>
      </c>
      <c r="AR187" s="414">
        <v>0</v>
      </c>
      <c r="AS187" s="414">
        <v>0</v>
      </c>
      <c r="AT187" s="414">
        <v>18887</v>
      </c>
      <c r="AU187" s="414"/>
      <c r="AV187" s="414"/>
      <c r="AW187" s="414"/>
      <c r="AX187" s="414"/>
      <c r="AY187" s="414"/>
      <c r="AZ187" s="414"/>
      <c r="BA187" s="414"/>
      <c r="BB187" s="414"/>
      <c r="BC187" s="414"/>
      <c r="BD187" s="414"/>
      <c r="BE187" s="414"/>
      <c r="BF187" s="414"/>
      <c r="BG187" s="414"/>
      <c r="BH187" s="414"/>
      <c r="BI187" s="414"/>
      <c r="BJ187" s="414"/>
      <c r="BK187" s="414"/>
      <c r="BL187" s="414"/>
      <c r="BM187" s="414"/>
      <c r="BN187" s="414"/>
      <c r="BO187" s="414"/>
      <c r="BP187" s="414"/>
      <c r="BQ187" s="414"/>
      <c r="BR187" s="414"/>
      <c r="BS187" s="414"/>
      <c r="BT187" s="414"/>
      <c r="BU187" s="414"/>
      <c r="BV187" s="414"/>
      <c r="BW187" s="414"/>
      <c r="BX187" s="414"/>
      <c r="BY187" s="414"/>
      <c r="BZ187" s="414"/>
      <c r="CA187" s="414"/>
      <c r="CB187" s="414"/>
    </row>
    <row r="188" spans="1:80" x14ac:dyDescent="0.25">
      <c r="B188" s="412">
        <v>537</v>
      </c>
      <c r="C188" s="302" t="s">
        <v>295</v>
      </c>
      <c r="D188" s="302">
        <v>0</v>
      </c>
      <c r="E188" s="414">
        <v>0</v>
      </c>
      <c r="F188" s="414">
        <v>0</v>
      </c>
      <c r="G188" s="414">
        <v>0</v>
      </c>
      <c r="H188" s="414">
        <v>0</v>
      </c>
      <c r="I188" s="414">
        <v>0</v>
      </c>
      <c r="J188" s="414">
        <v>0</v>
      </c>
      <c r="K188" s="414">
        <v>0</v>
      </c>
      <c r="L188" s="414">
        <v>0</v>
      </c>
      <c r="M188" s="414">
        <v>0</v>
      </c>
      <c r="N188" s="414">
        <v>0</v>
      </c>
      <c r="O188" s="414">
        <v>0</v>
      </c>
      <c r="P188" s="414">
        <v>0</v>
      </c>
      <c r="Q188" s="414">
        <v>0</v>
      </c>
      <c r="R188" s="414">
        <v>0</v>
      </c>
      <c r="S188" s="414">
        <v>0</v>
      </c>
      <c r="T188" s="414">
        <v>0</v>
      </c>
      <c r="U188" s="414">
        <v>0</v>
      </c>
      <c r="V188" s="414">
        <v>0</v>
      </c>
      <c r="W188" s="414">
        <v>0</v>
      </c>
      <c r="X188" s="414">
        <v>0</v>
      </c>
      <c r="Y188" s="414">
        <v>0</v>
      </c>
      <c r="Z188" s="414">
        <v>0</v>
      </c>
      <c r="AA188" s="414">
        <v>0</v>
      </c>
      <c r="AB188" s="414">
        <v>0</v>
      </c>
      <c r="AC188" s="414">
        <v>0</v>
      </c>
      <c r="AD188" s="414">
        <v>0</v>
      </c>
      <c r="AE188" s="414">
        <v>0</v>
      </c>
      <c r="AF188" s="414">
        <v>0</v>
      </c>
      <c r="AG188" s="414">
        <v>0</v>
      </c>
      <c r="AH188" s="414">
        <v>0</v>
      </c>
      <c r="AI188" s="414">
        <v>0</v>
      </c>
      <c r="AJ188" s="414">
        <v>0</v>
      </c>
      <c r="AK188" s="414">
        <v>0</v>
      </c>
      <c r="AL188" s="414">
        <v>0</v>
      </c>
      <c r="AM188" s="414">
        <v>0</v>
      </c>
      <c r="AN188" s="414">
        <v>0</v>
      </c>
      <c r="AO188" s="414">
        <v>0</v>
      </c>
      <c r="AP188" s="414">
        <v>0</v>
      </c>
      <c r="AQ188" s="414">
        <v>0</v>
      </c>
      <c r="AR188" s="414">
        <v>0</v>
      </c>
      <c r="AS188" s="414">
        <v>0</v>
      </c>
      <c r="AT188" s="414">
        <v>0</v>
      </c>
      <c r="AU188" s="414"/>
      <c r="AV188" s="414"/>
      <c r="AW188" s="414"/>
      <c r="AX188" s="414"/>
      <c r="AY188" s="414"/>
      <c r="AZ188" s="414"/>
      <c r="BA188" s="414"/>
      <c r="BB188" s="414"/>
      <c r="BC188" s="414"/>
      <c r="BD188" s="414"/>
      <c r="BE188" s="414"/>
      <c r="BF188" s="414"/>
      <c r="BG188" s="414"/>
      <c r="BH188" s="414"/>
      <c r="BI188" s="414"/>
      <c r="BJ188" s="414"/>
      <c r="BK188" s="414"/>
      <c r="BL188" s="414"/>
      <c r="BM188" s="414"/>
      <c r="BN188" s="414"/>
      <c r="BO188" s="414"/>
      <c r="BP188" s="414"/>
      <c r="BQ188" s="414"/>
      <c r="BR188" s="414"/>
      <c r="BS188" s="414"/>
      <c r="BT188" s="414"/>
      <c r="BU188" s="414"/>
      <c r="BV188" s="414"/>
      <c r="BW188" s="414"/>
      <c r="BX188" s="414"/>
      <c r="BY188" s="414"/>
      <c r="BZ188" s="414"/>
      <c r="CA188" s="414"/>
      <c r="CB188" s="414"/>
    </row>
    <row r="189" spans="1:80" x14ac:dyDescent="0.25">
      <c r="B189" s="412">
        <v>538</v>
      </c>
      <c r="C189" s="302" t="s">
        <v>294</v>
      </c>
      <c r="D189" s="302">
        <v>0</v>
      </c>
      <c r="E189" s="413">
        <v>0</v>
      </c>
      <c r="F189" s="413">
        <v>0</v>
      </c>
      <c r="G189" s="413">
        <v>0</v>
      </c>
      <c r="H189" s="413">
        <v>0</v>
      </c>
      <c r="I189" s="413">
        <v>0</v>
      </c>
      <c r="J189" s="413">
        <v>0</v>
      </c>
      <c r="K189" s="413">
        <v>0</v>
      </c>
      <c r="L189" s="413">
        <v>0</v>
      </c>
      <c r="M189" s="413">
        <v>0</v>
      </c>
      <c r="N189" s="413">
        <v>0</v>
      </c>
      <c r="O189" s="413">
        <v>0</v>
      </c>
      <c r="P189" s="413">
        <v>0</v>
      </c>
      <c r="Q189" s="413">
        <v>0</v>
      </c>
      <c r="R189" s="413">
        <v>0</v>
      </c>
      <c r="S189" s="413">
        <v>0</v>
      </c>
      <c r="T189" s="413">
        <v>0</v>
      </c>
      <c r="U189" s="413">
        <v>0</v>
      </c>
      <c r="V189" s="413">
        <v>0</v>
      </c>
      <c r="W189" s="413">
        <v>0</v>
      </c>
      <c r="X189" s="413">
        <v>0</v>
      </c>
      <c r="Y189" s="413">
        <v>0</v>
      </c>
      <c r="Z189" s="413">
        <v>0</v>
      </c>
      <c r="AA189" s="413">
        <v>0</v>
      </c>
      <c r="AB189" s="413">
        <v>0</v>
      </c>
      <c r="AC189" s="413">
        <v>0</v>
      </c>
      <c r="AD189" s="413">
        <v>0</v>
      </c>
      <c r="AE189" s="413">
        <v>0</v>
      </c>
      <c r="AF189" s="413">
        <v>0</v>
      </c>
      <c r="AG189" s="413">
        <v>0</v>
      </c>
      <c r="AH189" s="413">
        <v>0</v>
      </c>
      <c r="AI189" s="413">
        <v>0</v>
      </c>
      <c r="AJ189" s="413">
        <v>0</v>
      </c>
      <c r="AK189" s="413">
        <v>0</v>
      </c>
      <c r="AL189" s="413">
        <v>0</v>
      </c>
      <c r="AM189" s="413">
        <v>0</v>
      </c>
      <c r="AN189" s="413">
        <v>0</v>
      </c>
      <c r="AO189" s="413">
        <v>0</v>
      </c>
      <c r="AP189" s="413">
        <v>0</v>
      </c>
      <c r="AQ189" s="413">
        <v>0</v>
      </c>
      <c r="AR189" s="413">
        <v>0</v>
      </c>
      <c r="AS189" s="413">
        <v>0</v>
      </c>
      <c r="AT189" s="413">
        <v>0</v>
      </c>
      <c r="AU189" s="413"/>
      <c r="AV189" s="413"/>
      <c r="AW189" s="413"/>
      <c r="AX189" s="413"/>
      <c r="AY189" s="413"/>
      <c r="AZ189" s="413"/>
      <c r="BA189" s="413"/>
      <c r="BB189" s="413"/>
      <c r="BC189" s="413"/>
      <c r="BD189" s="413"/>
      <c r="BE189" s="413"/>
      <c r="BF189" s="413"/>
      <c r="BG189" s="413"/>
      <c r="BH189" s="413"/>
      <c r="BI189" s="413"/>
      <c r="BJ189" s="413"/>
      <c r="BK189" s="413"/>
      <c r="BL189" s="413"/>
      <c r="BM189" s="413"/>
      <c r="BN189" s="413"/>
      <c r="BO189" s="413"/>
      <c r="BP189" s="413"/>
      <c r="BQ189" s="413"/>
      <c r="BR189" s="413"/>
      <c r="BS189" s="413"/>
      <c r="BT189" s="413"/>
      <c r="BU189" s="413"/>
      <c r="BV189" s="413"/>
      <c r="BW189" s="413"/>
      <c r="BX189" s="413"/>
      <c r="BY189" s="413"/>
      <c r="BZ189" s="413"/>
      <c r="CA189" s="413"/>
      <c r="CB189" s="413"/>
    </row>
    <row r="190" spans="1:80" x14ac:dyDescent="0.25">
      <c r="B190" s="412">
        <v>539</v>
      </c>
      <c r="C190" s="302" t="s">
        <v>1517</v>
      </c>
      <c r="D190" s="302">
        <v>0</v>
      </c>
      <c r="E190" s="413">
        <v>0</v>
      </c>
      <c r="F190" s="413">
        <v>0</v>
      </c>
      <c r="G190" s="413">
        <v>0</v>
      </c>
      <c r="H190" s="413">
        <v>0</v>
      </c>
      <c r="I190" s="413">
        <v>0</v>
      </c>
      <c r="J190" s="413">
        <v>0</v>
      </c>
      <c r="K190" s="413">
        <v>0</v>
      </c>
      <c r="L190" s="413">
        <v>0</v>
      </c>
      <c r="M190" s="413">
        <v>0</v>
      </c>
      <c r="N190" s="413">
        <v>0</v>
      </c>
      <c r="O190" s="413">
        <v>0</v>
      </c>
      <c r="P190" s="413">
        <v>0</v>
      </c>
      <c r="Q190" s="413">
        <v>0</v>
      </c>
      <c r="R190" s="413">
        <v>0</v>
      </c>
      <c r="S190" s="413">
        <v>0</v>
      </c>
      <c r="T190" s="413">
        <v>0</v>
      </c>
      <c r="U190" s="413">
        <v>0</v>
      </c>
      <c r="V190" s="413">
        <v>0</v>
      </c>
      <c r="W190" s="413">
        <v>0</v>
      </c>
      <c r="X190" s="413">
        <v>0</v>
      </c>
      <c r="Y190" s="413">
        <v>0</v>
      </c>
      <c r="Z190" s="413">
        <v>0</v>
      </c>
      <c r="AA190" s="413">
        <v>0</v>
      </c>
      <c r="AB190" s="413">
        <v>0</v>
      </c>
      <c r="AC190" s="413">
        <v>0</v>
      </c>
      <c r="AD190" s="413">
        <v>0</v>
      </c>
      <c r="AE190" s="413">
        <v>0</v>
      </c>
      <c r="AF190" s="413">
        <v>0</v>
      </c>
      <c r="AG190" s="413">
        <v>0</v>
      </c>
      <c r="AH190" s="413">
        <v>0</v>
      </c>
      <c r="AI190" s="413">
        <v>0</v>
      </c>
      <c r="AJ190" s="413">
        <v>0</v>
      </c>
      <c r="AK190" s="413">
        <v>0</v>
      </c>
      <c r="AL190" s="413">
        <v>0</v>
      </c>
      <c r="AM190" s="413">
        <v>0</v>
      </c>
      <c r="AN190" s="413">
        <v>0</v>
      </c>
      <c r="AO190" s="413">
        <v>0</v>
      </c>
      <c r="AP190" s="413">
        <v>0</v>
      </c>
      <c r="AQ190" s="413">
        <v>0</v>
      </c>
      <c r="AR190" s="413">
        <v>0</v>
      </c>
      <c r="AS190" s="413">
        <v>0</v>
      </c>
      <c r="AT190" s="413">
        <v>0</v>
      </c>
      <c r="AU190" s="413"/>
      <c r="AV190" s="413"/>
      <c r="AW190" s="413"/>
      <c r="AX190" s="413"/>
      <c r="AY190" s="413"/>
      <c r="AZ190" s="413"/>
      <c r="BA190" s="413"/>
      <c r="BB190" s="413"/>
      <c r="BC190" s="413"/>
      <c r="BD190" s="413"/>
      <c r="BE190" s="413"/>
      <c r="BF190" s="413"/>
      <c r="BG190" s="413"/>
      <c r="BH190" s="413"/>
      <c r="BI190" s="413"/>
      <c r="BJ190" s="413"/>
      <c r="BK190" s="413"/>
      <c r="BL190" s="413"/>
      <c r="BM190" s="413"/>
      <c r="BN190" s="413"/>
      <c r="BO190" s="413"/>
      <c r="BP190" s="413"/>
      <c r="BQ190" s="413"/>
      <c r="BR190" s="413"/>
      <c r="BS190" s="413"/>
      <c r="BT190" s="413"/>
      <c r="BU190" s="413"/>
      <c r="BV190" s="413"/>
      <c r="BW190" s="413"/>
      <c r="BX190" s="413"/>
      <c r="BY190" s="413"/>
      <c r="BZ190" s="413"/>
      <c r="CA190" s="413"/>
      <c r="CB190" s="413"/>
    </row>
    <row r="191" spans="1:80" x14ac:dyDescent="0.25">
      <c r="A191" s="302">
        <v>540</v>
      </c>
      <c r="B191" s="412">
        <v>540</v>
      </c>
      <c r="C191" s="302" t="s">
        <v>267</v>
      </c>
      <c r="D191" s="302">
        <v>0</v>
      </c>
      <c r="E191" s="413">
        <v>0</v>
      </c>
      <c r="F191" s="413">
        <v>0</v>
      </c>
      <c r="G191" s="413">
        <v>0</v>
      </c>
      <c r="H191" s="413">
        <v>0</v>
      </c>
      <c r="I191" s="413">
        <v>305</v>
      </c>
      <c r="J191" s="413">
        <v>0</v>
      </c>
      <c r="K191" s="413">
        <v>0</v>
      </c>
      <c r="L191" s="413">
        <v>0</v>
      </c>
      <c r="M191" s="413">
        <v>0</v>
      </c>
      <c r="N191" s="413">
        <v>0</v>
      </c>
      <c r="O191" s="413">
        <v>0</v>
      </c>
      <c r="P191" s="413">
        <v>0</v>
      </c>
      <c r="Q191" s="413">
        <v>0</v>
      </c>
      <c r="R191" s="413">
        <v>0</v>
      </c>
      <c r="S191" s="413">
        <v>0</v>
      </c>
      <c r="T191" s="413">
        <v>0</v>
      </c>
      <c r="U191" s="413">
        <v>0</v>
      </c>
      <c r="V191" s="413">
        <v>0</v>
      </c>
      <c r="W191" s="413">
        <v>36646</v>
      </c>
      <c r="X191" s="413">
        <v>0</v>
      </c>
      <c r="Y191" s="413">
        <v>0</v>
      </c>
      <c r="Z191" s="413">
        <v>0</v>
      </c>
      <c r="AA191" s="413">
        <v>0</v>
      </c>
      <c r="AB191" s="413">
        <v>0</v>
      </c>
      <c r="AC191" s="413">
        <v>0</v>
      </c>
      <c r="AD191" s="413">
        <v>0</v>
      </c>
      <c r="AE191" s="413">
        <v>0</v>
      </c>
      <c r="AF191" s="413">
        <v>0</v>
      </c>
      <c r="AG191" s="413">
        <v>0</v>
      </c>
      <c r="AH191" s="413">
        <v>0</v>
      </c>
      <c r="AI191" s="413">
        <v>0</v>
      </c>
      <c r="AJ191" s="413">
        <v>775379</v>
      </c>
      <c r="AK191" s="413">
        <v>0</v>
      </c>
      <c r="AL191" s="413">
        <v>0</v>
      </c>
      <c r="AM191" s="413">
        <v>0</v>
      </c>
      <c r="AN191" s="413">
        <v>23625</v>
      </c>
      <c r="AO191" s="413">
        <v>0</v>
      </c>
      <c r="AP191" s="413">
        <v>0</v>
      </c>
      <c r="AQ191" s="413">
        <v>0</v>
      </c>
      <c r="AR191" s="413">
        <v>0</v>
      </c>
      <c r="AS191" s="413">
        <v>0</v>
      </c>
      <c r="AT191" s="413">
        <v>0</v>
      </c>
      <c r="AU191" s="413"/>
      <c r="AV191" s="413"/>
      <c r="AW191" s="413"/>
      <c r="AX191" s="413"/>
      <c r="AY191" s="413"/>
      <c r="AZ191" s="413"/>
      <c r="BA191" s="413"/>
      <c r="BB191" s="413"/>
      <c r="BC191" s="413"/>
      <c r="BD191" s="413"/>
      <c r="BE191" s="413"/>
      <c r="BF191" s="413"/>
      <c r="BG191" s="413"/>
      <c r="BH191" s="413"/>
      <c r="BI191" s="413"/>
      <c r="BJ191" s="413"/>
      <c r="BK191" s="413"/>
      <c r="BL191" s="413"/>
      <c r="BM191" s="413"/>
      <c r="BN191" s="413"/>
      <c r="BO191" s="413"/>
      <c r="BP191" s="413"/>
      <c r="BQ191" s="413"/>
      <c r="BR191" s="413"/>
      <c r="BS191" s="413"/>
      <c r="BT191" s="413"/>
      <c r="BU191" s="413"/>
      <c r="BV191" s="413"/>
      <c r="BW191" s="413"/>
      <c r="BX191" s="413"/>
      <c r="BY191" s="413"/>
      <c r="BZ191" s="413"/>
      <c r="CA191" s="413"/>
      <c r="CB191" s="413"/>
    </row>
    <row r="192" spans="1:80" x14ac:dyDescent="0.25">
      <c r="B192" s="412">
        <v>541</v>
      </c>
      <c r="C192" s="302" t="s">
        <v>349</v>
      </c>
      <c r="D192" s="302">
        <v>0</v>
      </c>
      <c r="E192" s="413">
        <v>0</v>
      </c>
      <c r="F192" s="413">
        <v>0</v>
      </c>
      <c r="G192" s="413">
        <v>0</v>
      </c>
      <c r="H192" s="413">
        <v>0</v>
      </c>
      <c r="I192" s="413">
        <v>0</v>
      </c>
      <c r="J192" s="413">
        <v>0</v>
      </c>
      <c r="K192" s="413">
        <v>0</v>
      </c>
      <c r="L192" s="413">
        <v>0</v>
      </c>
      <c r="M192" s="413">
        <v>0</v>
      </c>
      <c r="N192" s="413">
        <v>0</v>
      </c>
      <c r="O192" s="413">
        <v>0</v>
      </c>
      <c r="P192" s="413">
        <v>0</v>
      </c>
      <c r="Q192" s="413">
        <v>0</v>
      </c>
      <c r="R192" s="413">
        <v>0</v>
      </c>
      <c r="S192" s="413">
        <v>0</v>
      </c>
      <c r="T192" s="413">
        <v>0</v>
      </c>
      <c r="U192" s="413">
        <v>0</v>
      </c>
      <c r="V192" s="413">
        <v>0</v>
      </c>
      <c r="W192" s="413">
        <v>0</v>
      </c>
      <c r="X192" s="413">
        <v>0</v>
      </c>
      <c r="Y192" s="413">
        <v>0</v>
      </c>
      <c r="Z192" s="413">
        <v>0</v>
      </c>
      <c r="AA192" s="413">
        <v>0</v>
      </c>
      <c r="AB192" s="413">
        <v>0</v>
      </c>
      <c r="AC192" s="413">
        <v>0</v>
      </c>
      <c r="AD192" s="413">
        <v>0</v>
      </c>
      <c r="AE192" s="413">
        <v>0</v>
      </c>
      <c r="AF192" s="413">
        <v>0</v>
      </c>
      <c r="AG192" s="413">
        <v>0</v>
      </c>
      <c r="AH192" s="413">
        <v>0</v>
      </c>
      <c r="AI192" s="413">
        <v>0</v>
      </c>
      <c r="AJ192" s="413">
        <v>0</v>
      </c>
      <c r="AK192" s="413">
        <v>0</v>
      </c>
      <c r="AL192" s="413">
        <v>0</v>
      </c>
      <c r="AM192" s="413">
        <v>0</v>
      </c>
      <c r="AN192" s="413">
        <v>0</v>
      </c>
      <c r="AO192" s="413">
        <v>0</v>
      </c>
      <c r="AP192" s="413">
        <v>0</v>
      </c>
      <c r="AQ192" s="413">
        <v>0</v>
      </c>
      <c r="AR192" s="413">
        <v>0</v>
      </c>
      <c r="AS192" s="413">
        <v>0</v>
      </c>
      <c r="AT192" s="413">
        <v>0</v>
      </c>
      <c r="AU192" s="413"/>
      <c r="AV192" s="413"/>
      <c r="AW192" s="413"/>
      <c r="AX192" s="413"/>
      <c r="AY192" s="413"/>
      <c r="AZ192" s="413"/>
      <c r="BA192" s="413"/>
      <c r="BB192" s="413"/>
      <c r="BC192" s="413"/>
      <c r="BD192" s="413"/>
      <c r="BE192" s="413"/>
      <c r="BF192" s="413"/>
      <c r="BG192" s="413"/>
      <c r="BH192" s="413"/>
      <c r="BI192" s="413"/>
      <c r="BJ192" s="413"/>
      <c r="BK192" s="413"/>
      <c r="BL192" s="413"/>
      <c r="BM192" s="413"/>
      <c r="BN192" s="413"/>
      <c r="BO192" s="413"/>
      <c r="BP192" s="413"/>
      <c r="BQ192" s="413"/>
      <c r="BR192" s="413"/>
      <c r="BS192" s="413"/>
      <c r="BT192" s="413"/>
      <c r="BU192" s="413"/>
      <c r="BV192" s="413"/>
      <c r="BW192" s="413"/>
      <c r="BX192" s="413"/>
      <c r="BY192" s="413"/>
      <c r="BZ192" s="413"/>
      <c r="CA192" s="413"/>
      <c r="CB192" s="413"/>
    </row>
    <row r="193" spans="1:80" x14ac:dyDescent="0.25">
      <c r="B193" s="412">
        <v>542</v>
      </c>
      <c r="C193" s="302" t="s">
        <v>577</v>
      </c>
      <c r="D193" s="302">
        <v>0</v>
      </c>
      <c r="E193" s="413">
        <v>0</v>
      </c>
      <c r="F193" s="413">
        <v>0</v>
      </c>
      <c r="G193" s="413">
        <v>0</v>
      </c>
      <c r="H193" s="413">
        <v>0</v>
      </c>
      <c r="I193" s="413">
        <v>0</v>
      </c>
      <c r="J193" s="413">
        <v>0</v>
      </c>
      <c r="K193" s="413">
        <v>0</v>
      </c>
      <c r="L193" s="413">
        <v>0</v>
      </c>
      <c r="M193" s="413">
        <v>0</v>
      </c>
      <c r="N193" s="413">
        <v>0</v>
      </c>
      <c r="O193" s="413">
        <v>0</v>
      </c>
      <c r="P193" s="413">
        <v>0</v>
      </c>
      <c r="Q193" s="413">
        <v>0</v>
      </c>
      <c r="R193" s="413">
        <v>0</v>
      </c>
      <c r="S193" s="413">
        <v>0</v>
      </c>
      <c r="T193" s="413">
        <v>0</v>
      </c>
      <c r="U193" s="413">
        <v>0</v>
      </c>
      <c r="V193" s="413">
        <v>0</v>
      </c>
      <c r="W193" s="413">
        <v>0</v>
      </c>
      <c r="X193" s="413">
        <v>0</v>
      </c>
      <c r="Y193" s="413">
        <v>0</v>
      </c>
      <c r="Z193" s="413">
        <v>0</v>
      </c>
      <c r="AA193" s="413">
        <v>0</v>
      </c>
      <c r="AB193" s="413">
        <v>0</v>
      </c>
      <c r="AC193" s="413">
        <v>0</v>
      </c>
      <c r="AD193" s="413">
        <v>0</v>
      </c>
      <c r="AE193" s="413">
        <v>0</v>
      </c>
      <c r="AF193" s="413">
        <v>0</v>
      </c>
      <c r="AG193" s="413">
        <v>0</v>
      </c>
      <c r="AH193" s="413">
        <v>0</v>
      </c>
      <c r="AI193" s="413">
        <v>0</v>
      </c>
      <c r="AJ193" s="413">
        <v>0</v>
      </c>
      <c r="AK193" s="413">
        <v>0</v>
      </c>
      <c r="AL193" s="413">
        <v>0</v>
      </c>
      <c r="AM193" s="413">
        <v>0</v>
      </c>
      <c r="AN193" s="413">
        <v>0</v>
      </c>
      <c r="AO193" s="413">
        <v>0</v>
      </c>
      <c r="AP193" s="413">
        <v>0</v>
      </c>
      <c r="AQ193" s="413">
        <v>0</v>
      </c>
      <c r="AR193" s="413">
        <v>0</v>
      </c>
      <c r="AS193" s="413">
        <v>0</v>
      </c>
      <c r="AT193" s="413">
        <v>0</v>
      </c>
      <c r="AU193" s="413"/>
      <c r="AV193" s="413"/>
      <c r="AW193" s="413"/>
      <c r="AX193" s="413"/>
      <c r="AY193" s="413"/>
      <c r="AZ193" s="413"/>
      <c r="BA193" s="413"/>
      <c r="BB193" s="413"/>
      <c r="BC193" s="413"/>
      <c r="BD193" s="413"/>
      <c r="BE193" s="413"/>
      <c r="BF193" s="413"/>
      <c r="BG193" s="413"/>
      <c r="BH193" s="413"/>
      <c r="BI193" s="413"/>
      <c r="BJ193" s="413"/>
      <c r="BK193" s="413"/>
      <c r="BL193" s="413"/>
      <c r="BM193" s="413"/>
      <c r="BN193" s="413"/>
      <c r="BO193" s="413"/>
      <c r="BP193" s="413"/>
      <c r="BQ193" s="413"/>
      <c r="BR193" s="413"/>
      <c r="BS193" s="413"/>
      <c r="BT193" s="413"/>
      <c r="BU193" s="413"/>
      <c r="BV193" s="413"/>
      <c r="BW193" s="413"/>
      <c r="BX193" s="413"/>
      <c r="BY193" s="413"/>
      <c r="BZ193" s="413"/>
      <c r="CA193" s="413"/>
      <c r="CB193" s="413"/>
    </row>
    <row r="194" spans="1:80" x14ac:dyDescent="0.25">
      <c r="B194" s="412">
        <v>543</v>
      </c>
      <c r="C194" s="302" t="s">
        <v>1518</v>
      </c>
      <c r="D194" s="302">
        <v>0</v>
      </c>
      <c r="E194" s="414">
        <v>0</v>
      </c>
      <c r="F194" s="414">
        <v>0</v>
      </c>
      <c r="G194" s="414">
        <v>0</v>
      </c>
      <c r="H194" s="414">
        <v>0</v>
      </c>
      <c r="I194" s="414">
        <v>0</v>
      </c>
      <c r="J194" s="414">
        <v>0</v>
      </c>
      <c r="K194" s="414">
        <v>0</v>
      </c>
      <c r="L194" s="414">
        <v>0</v>
      </c>
      <c r="M194" s="414">
        <v>0</v>
      </c>
      <c r="N194" s="414">
        <v>0</v>
      </c>
      <c r="O194" s="414">
        <v>0</v>
      </c>
      <c r="P194" s="414">
        <v>0</v>
      </c>
      <c r="Q194" s="414">
        <v>0</v>
      </c>
      <c r="R194" s="414">
        <v>0</v>
      </c>
      <c r="S194" s="414">
        <v>0</v>
      </c>
      <c r="T194" s="414">
        <v>0</v>
      </c>
      <c r="U194" s="414">
        <v>0</v>
      </c>
      <c r="V194" s="414">
        <v>0</v>
      </c>
      <c r="W194" s="414">
        <v>0</v>
      </c>
      <c r="X194" s="414">
        <v>0</v>
      </c>
      <c r="Y194" s="414">
        <v>0</v>
      </c>
      <c r="Z194" s="414">
        <v>0</v>
      </c>
      <c r="AA194" s="414">
        <v>0</v>
      </c>
      <c r="AB194" s="414">
        <v>0</v>
      </c>
      <c r="AC194" s="414">
        <v>0</v>
      </c>
      <c r="AD194" s="414">
        <v>0</v>
      </c>
      <c r="AE194" s="414">
        <v>0</v>
      </c>
      <c r="AF194" s="414">
        <v>0</v>
      </c>
      <c r="AG194" s="414">
        <v>0</v>
      </c>
      <c r="AH194" s="414">
        <v>0</v>
      </c>
      <c r="AI194" s="414">
        <v>0</v>
      </c>
      <c r="AJ194" s="414">
        <v>0</v>
      </c>
      <c r="AK194" s="414">
        <v>0</v>
      </c>
      <c r="AL194" s="414">
        <v>0</v>
      </c>
      <c r="AM194" s="414">
        <v>0</v>
      </c>
      <c r="AN194" s="414">
        <v>0</v>
      </c>
      <c r="AO194" s="414">
        <v>0</v>
      </c>
      <c r="AP194" s="414">
        <v>0</v>
      </c>
      <c r="AQ194" s="414">
        <v>0</v>
      </c>
      <c r="AR194" s="414">
        <v>0</v>
      </c>
      <c r="AS194" s="414">
        <v>0</v>
      </c>
      <c r="AT194" s="414">
        <v>0</v>
      </c>
      <c r="AU194" s="414"/>
      <c r="AV194" s="414"/>
      <c r="AW194" s="414"/>
      <c r="AX194" s="414"/>
      <c r="AY194" s="414"/>
      <c r="AZ194" s="414"/>
      <c r="BA194" s="414"/>
      <c r="BB194" s="414"/>
      <c r="BC194" s="414"/>
      <c r="BD194" s="414"/>
      <c r="BE194" s="414"/>
      <c r="BF194" s="414"/>
      <c r="BG194" s="414"/>
      <c r="BH194" s="414"/>
      <c r="BI194" s="414"/>
      <c r="BJ194" s="414"/>
      <c r="BK194" s="414"/>
      <c r="BL194" s="414"/>
      <c r="BM194" s="414"/>
      <c r="BN194" s="414"/>
      <c r="BO194" s="414"/>
      <c r="BP194" s="414"/>
      <c r="BQ194" s="414"/>
      <c r="BR194" s="414"/>
      <c r="BS194" s="414"/>
      <c r="BT194" s="414"/>
      <c r="BU194" s="414"/>
      <c r="BV194" s="414"/>
      <c r="BW194" s="414"/>
      <c r="BX194" s="414"/>
      <c r="BY194" s="414"/>
      <c r="BZ194" s="414"/>
      <c r="CA194" s="414"/>
      <c r="CB194" s="414"/>
    </row>
    <row r="195" spans="1:80" x14ac:dyDescent="0.25">
      <c r="B195" s="412">
        <v>544</v>
      </c>
      <c r="C195" s="302" t="s">
        <v>53</v>
      </c>
      <c r="D195" s="302">
        <v>0</v>
      </c>
      <c r="E195" s="414">
        <v>0</v>
      </c>
      <c r="F195" s="414">
        <v>0</v>
      </c>
      <c r="G195" s="414">
        <v>0</v>
      </c>
      <c r="H195" s="414">
        <v>0</v>
      </c>
      <c r="I195" s="414">
        <v>0</v>
      </c>
      <c r="J195" s="414">
        <v>0</v>
      </c>
      <c r="K195" s="414">
        <v>0</v>
      </c>
      <c r="L195" s="414">
        <v>0</v>
      </c>
      <c r="M195" s="414">
        <v>0</v>
      </c>
      <c r="N195" s="414">
        <v>0</v>
      </c>
      <c r="O195" s="414">
        <v>0</v>
      </c>
      <c r="P195" s="414">
        <v>0</v>
      </c>
      <c r="Q195" s="414">
        <v>0</v>
      </c>
      <c r="R195" s="414">
        <v>0</v>
      </c>
      <c r="S195" s="414">
        <v>0</v>
      </c>
      <c r="T195" s="414">
        <v>0</v>
      </c>
      <c r="U195" s="414">
        <v>0</v>
      </c>
      <c r="V195" s="414">
        <v>0</v>
      </c>
      <c r="W195" s="414">
        <v>0</v>
      </c>
      <c r="X195" s="414">
        <v>0</v>
      </c>
      <c r="Y195" s="414">
        <v>0</v>
      </c>
      <c r="Z195" s="414">
        <v>0</v>
      </c>
      <c r="AA195" s="414">
        <v>0</v>
      </c>
      <c r="AB195" s="414">
        <v>0</v>
      </c>
      <c r="AC195" s="414">
        <v>0</v>
      </c>
      <c r="AD195" s="414">
        <v>0</v>
      </c>
      <c r="AE195" s="414">
        <v>0</v>
      </c>
      <c r="AF195" s="414">
        <v>0</v>
      </c>
      <c r="AG195" s="414">
        <v>0</v>
      </c>
      <c r="AH195" s="414">
        <v>0</v>
      </c>
      <c r="AI195" s="414">
        <v>0</v>
      </c>
      <c r="AJ195" s="414">
        <v>0</v>
      </c>
      <c r="AK195" s="414">
        <v>0</v>
      </c>
      <c r="AL195" s="414">
        <v>0</v>
      </c>
      <c r="AM195" s="414">
        <v>0</v>
      </c>
      <c r="AN195" s="414">
        <v>0</v>
      </c>
      <c r="AO195" s="414">
        <v>0</v>
      </c>
      <c r="AP195" s="414">
        <v>0</v>
      </c>
      <c r="AQ195" s="414">
        <v>0</v>
      </c>
      <c r="AR195" s="414">
        <v>0</v>
      </c>
      <c r="AS195" s="414">
        <v>0</v>
      </c>
      <c r="AT195" s="414">
        <v>0</v>
      </c>
      <c r="AU195" s="414"/>
      <c r="AV195" s="414"/>
      <c r="AW195" s="414"/>
      <c r="AX195" s="414"/>
      <c r="AY195" s="414"/>
      <c r="AZ195" s="414"/>
      <c r="BA195" s="414"/>
      <c r="BB195" s="414"/>
      <c r="BC195" s="414"/>
      <c r="BD195" s="414"/>
      <c r="BE195" s="414"/>
      <c r="BF195" s="414"/>
      <c r="BG195" s="414"/>
      <c r="BH195" s="414"/>
      <c r="BI195" s="414"/>
      <c r="BJ195" s="414"/>
      <c r="BK195" s="414"/>
      <c r="BL195" s="414"/>
      <c r="BM195" s="414"/>
      <c r="BN195" s="414"/>
      <c r="BO195" s="414"/>
      <c r="BP195" s="414"/>
      <c r="BQ195" s="414"/>
      <c r="BR195" s="414"/>
      <c r="BS195" s="414"/>
      <c r="BT195" s="414"/>
      <c r="BU195" s="414"/>
      <c r="BV195" s="414"/>
      <c r="BW195" s="414"/>
      <c r="BX195" s="414"/>
      <c r="BY195" s="414"/>
      <c r="BZ195" s="414"/>
      <c r="CA195" s="414"/>
      <c r="CB195" s="414"/>
    </row>
    <row r="196" spans="1:80" x14ac:dyDescent="0.25">
      <c r="B196" s="412">
        <v>545</v>
      </c>
      <c r="C196" s="302" t="s">
        <v>54</v>
      </c>
      <c r="D196" s="302">
        <v>0</v>
      </c>
      <c r="E196" s="413">
        <v>0</v>
      </c>
      <c r="F196" s="413">
        <v>0</v>
      </c>
      <c r="G196" s="413">
        <v>0</v>
      </c>
      <c r="H196" s="413">
        <v>0</v>
      </c>
      <c r="I196" s="413">
        <v>0</v>
      </c>
      <c r="J196" s="413">
        <v>0</v>
      </c>
      <c r="K196" s="413">
        <v>0</v>
      </c>
      <c r="L196" s="413">
        <v>0</v>
      </c>
      <c r="M196" s="413">
        <v>0</v>
      </c>
      <c r="N196" s="413">
        <v>0</v>
      </c>
      <c r="O196" s="413">
        <v>0</v>
      </c>
      <c r="P196" s="413">
        <v>0</v>
      </c>
      <c r="Q196" s="413">
        <v>0</v>
      </c>
      <c r="R196" s="413">
        <v>0</v>
      </c>
      <c r="S196" s="413">
        <v>0</v>
      </c>
      <c r="T196" s="413">
        <v>0</v>
      </c>
      <c r="U196" s="413">
        <v>0</v>
      </c>
      <c r="V196" s="413">
        <v>0</v>
      </c>
      <c r="W196" s="413">
        <v>0</v>
      </c>
      <c r="X196" s="413">
        <v>0</v>
      </c>
      <c r="Y196" s="413">
        <v>0</v>
      </c>
      <c r="Z196" s="413">
        <v>0</v>
      </c>
      <c r="AA196" s="413">
        <v>0</v>
      </c>
      <c r="AB196" s="413">
        <v>0</v>
      </c>
      <c r="AC196" s="413">
        <v>0</v>
      </c>
      <c r="AD196" s="413">
        <v>0</v>
      </c>
      <c r="AE196" s="413">
        <v>0</v>
      </c>
      <c r="AF196" s="413">
        <v>0</v>
      </c>
      <c r="AG196" s="413">
        <v>0</v>
      </c>
      <c r="AH196" s="413">
        <v>0</v>
      </c>
      <c r="AI196" s="413">
        <v>0</v>
      </c>
      <c r="AJ196" s="413">
        <v>0</v>
      </c>
      <c r="AK196" s="413">
        <v>0</v>
      </c>
      <c r="AL196" s="413">
        <v>0</v>
      </c>
      <c r="AM196" s="413">
        <v>0</v>
      </c>
      <c r="AN196" s="413">
        <v>0</v>
      </c>
      <c r="AO196" s="413">
        <v>0</v>
      </c>
      <c r="AP196" s="413">
        <v>0</v>
      </c>
      <c r="AQ196" s="413">
        <v>0</v>
      </c>
      <c r="AR196" s="413">
        <v>0</v>
      </c>
      <c r="AS196" s="413">
        <v>0</v>
      </c>
      <c r="AT196" s="413">
        <v>0</v>
      </c>
      <c r="AU196" s="413"/>
      <c r="AV196" s="413"/>
      <c r="AW196" s="413"/>
      <c r="AX196" s="413"/>
      <c r="AY196" s="413"/>
      <c r="AZ196" s="413"/>
      <c r="BA196" s="413"/>
      <c r="BB196" s="413"/>
      <c r="BC196" s="413"/>
      <c r="BD196" s="413"/>
      <c r="BE196" s="413"/>
      <c r="BF196" s="413"/>
      <c r="BG196" s="413"/>
      <c r="BH196" s="413"/>
      <c r="BI196" s="413"/>
      <c r="BJ196" s="413"/>
      <c r="BK196" s="413"/>
      <c r="BL196" s="413"/>
      <c r="BM196" s="413"/>
      <c r="BN196" s="413"/>
      <c r="BO196" s="413"/>
      <c r="BP196" s="413"/>
      <c r="BQ196" s="413"/>
      <c r="BR196" s="413"/>
      <c r="BS196" s="413"/>
      <c r="BT196" s="413"/>
      <c r="BU196" s="413"/>
      <c r="BV196" s="413"/>
      <c r="BW196" s="413"/>
      <c r="BX196" s="413"/>
      <c r="BY196" s="413"/>
      <c r="BZ196" s="413"/>
      <c r="CA196" s="413"/>
      <c r="CB196" s="413"/>
    </row>
    <row r="197" spans="1:80" x14ac:dyDescent="0.25">
      <c r="B197" s="412">
        <v>546</v>
      </c>
      <c r="C197" s="302" t="s">
        <v>578</v>
      </c>
      <c r="D197" s="302">
        <v>0</v>
      </c>
      <c r="E197" s="413">
        <v>0</v>
      </c>
      <c r="F197" s="413">
        <v>0</v>
      </c>
      <c r="G197" s="413">
        <v>0</v>
      </c>
      <c r="H197" s="413">
        <v>0</v>
      </c>
      <c r="I197" s="413">
        <v>0</v>
      </c>
      <c r="J197" s="413">
        <v>0</v>
      </c>
      <c r="K197" s="413">
        <v>0</v>
      </c>
      <c r="L197" s="413">
        <v>0</v>
      </c>
      <c r="M197" s="413">
        <v>0</v>
      </c>
      <c r="N197" s="413">
        <v>0</v>
      </c>
      <c r="O197" s="413">
        <v>0</v>
      </c>
      <c r="P197" s="413">
        <v>0</v>
      </c>
      <c r="Q197" s="413">
        <v>0</v>
      </c>
      <c r="R197" s="413">
        <v>0</v>
      </c>
      <c r="S197" s="413">
        <v>0</v>
      </c>
      <c r="T197" s="413">
        <v>0</v>
      </c>
      <c r="U197" s="413">
        <v>0</v>
      </c>
      <c r="V197" s="413">
        <v>0</v>
      </c>
      <c r="W197" s="413">
        <v>0</v>
      </c>
      <c r="X197" s="413">
        <v>0</v>
      </c>
      <c r="Y197" s="413">
        <v>0</v>
      </c>
      <c r="Z197" s="413">
        <v>0</v>
      </c>
      <c r="AA197" s="413">
        <v>0</v>
      </c>
      <c r="AB197" s="413">
        <v>0</v>
      </c>
      <c r="AC197" s="413">
        <v>0</v>
      </c>
      <c r="AD197" s="413">
        <v>0</v>
      </c>
      <c r="AE197" s="413">
        <v>0</v>
      </c>
      <c r="AF197" s="413">
        <v>0</v>
      </c>
      <c r="AG197" s="413">
        <v>0</v>
      </c>
      <c r="AH197" s="413">
        <v>0</v>
      </c>
      <c r="AI197" s="413">
        <v>0</v>
      </c>
      <c r="AJ197" s="413">
        <v>0</v>
      </c>
      <c r="AK197" s="413">
        <v>0</v>
      </c>
      <c r="AL197" s="413">
        <v>0</v>
      </c>
      <c r="AM197" s="413">
        <v>0</v>
      </c>
      <c r="AN197" s="413">
        <v>0</v>
      </c>
      <c r="AO197" s="413">
        <v>0</v>
      </c>
      <c r="AP197" s="413">
        <v>0</v>
      </c>
      <c r="AQ197" s="413">
        <v>0</v>
      </c>
      <c r="AR197" s="413">
        <v>0</v>
      </c>
      <c r="AS197" s="413">
        <v>0</v>
      </c>
      <c r="AT197" s="413">
        <v>0</v>
      </c>
      <c r="AU197" s="413"/>
      <c r="AV197" s="413"/>
      <c r="AW197" s="413"/>
      <c r="AX197" s="413"/>
      <c r="AY197" s="413"/>
      <c r="AZ197" s="413"/>
      <c r="BA197" s="413"/>
      <c r="BB197" s="413"/>
      <c r="BC197" s="413"/>
      <c r="BD197" s="413"/>
      <c r="BE197" s="413"/>
      <c r="BF197" s="413"/>
      <c r="BG197" s="413"/>
      <c r="BH197" s="413"/>
      <c r="BI197" s="413"/>
      <c r="BJ197" s="413"/>
      <c r="BK197" s="413"/>
      <c r="BL197" s="413"/>
      <c r="BM197" s="413"/>
      <c r="BN197" s="413"/>
      <c r="BO197" s="413"/>
      <c r="BP197" s="413"/>
      <c r="BQ197" s="413"/>
      <c r="BR197" s="413"/>
      <c r="BS197" s="413"/>
      <c r="BT197" s="413"/>
      <c r="BU197" s="413"/>
      <c r="BV197" s="413"/>
      <c r="BW197" s="413"/>
      <c r="BX197" s="413"/>
      <c r="BY197" s="413"/>
      <c r="BZ197" s="413"/>
      <c r="CA197" s="413"/>
      <c r="CB197" s="413"/>
    </row>
    <row r="198" spans="1:80" x14ac:dyDescent="0.25">
      <c r="A198" s="302">
        <v>547</v>
      </c>
      <c r="B198" s="412">
        <v>547</v>
      </c>
      <c r="C198" s="302" t="s">
        <v>335</v>
      </c>
      <c r="D198" s="302">
        <v>2</v>
      </c>
      <c r="E198" s="413">
        <v>4</v>
      </c>
      <c r="F198" s="413">
        <v>2</v>
      </c>
      <c r="G198" s="413">
        <v>2</v>
      </c>
      <c r="H198" s="413">
        <v>2</v>
      </c>
      <c r="I198" s="413">
        <v>2</v>
      </c>
      <c r="J198" s="413">
        <v>3</v>
      </c>
      <c r="K198" s="413">
        <v>2</v>
      </c>
      <c r="L198" s="413">
        <v>2</v>
      </c>
      <c r="M198" s="413">
        <v>2</v>
      </c>
      <c r="N198" s="413">
        <v>3</v>
      </c>
      <c r="O198" s="413">
        <v>2</v>
      </c>
      <c r="P198" s="413">
        <v>2</v>
      </c>
      <c r="Q198" s="413">
        <v>0</v>
      </c>
      <c r="R198" s="413">
        <v>2</v>
      </c>
      <c r="S198" s="413">
        <v>2</v>
      </c>
      <c r="T198" s="413">
        <v>2</v>
      </c>
      <c r="U198" s="413">
        <v>2</v>
      </c>
      <c r="V198" s="413">
        <v>3</v>
      </c>
      <c r="W198" s="413">
        <v>2</v>
      </c>
      <c r="X198" s="413">
        <v>2</v>
      </c>
      <c r="Y198" s="413">
        <v>2</v>
      </c>
      <c r="Z198" s="413">
        <v>2</v>
      </c>
      <c r="AA198" s="413">
        <v>2</v>
      </c>
      <c r="AB198" s="413">
        <v>2</v>
      </c>
      <c r="AC198" s="413">
        <v>2</v>
      </c>
      <c r="AD198" s="413">
        <v>2</v>
      </c>
      <c r="AE198" s="413">
        <v>3</v>
      </c>
      <c r="AF198" s="413">
        <v>2</v>
      </c>
      <c r="AG198" s="413">
        <v>2</v>
      </c>
      <c r="AH198" s="413">
        <v>2</v>
      </c>
      <c r="AI198" s="413">
        <v>2</v>
      </c>
      <c r="AJ198" s="413">
        <v>2</v>
      </c>
      <c r="AK198" s="413">
        <v>3</v>
      </c>
      <c r="AL198" s="413">
        <v>2</v>
      </c>
      <c r="AM198" s="413">
        <v>2</v>
      </c>
      <c r="AN198" s="413">
        <v>2</v>
      </c>
      <c r="AO198" s="413">
        <v>2</v>
      </c>
      <c r="AP198" s="413">
        <v>2</v>
      </c>
      <c r="AQ198" s="413">
        <v>2</v>
      </c>
      <c r="AR198" s="413">
        <v>2</v>
      </c>
      <c r="AS198" s="413">
        <v>2</v>
      </c>
      <c r="AT198" s="413">
        <v>2</v>
      </c>
      <c r="AU198" s="413"/>
      <c r="AV198" s="413"/>
      <c r="AW198" s="413"/>
      <c r="AX198" s="413"/>
      <c r="AY198" s="413"/>
      <c r="AZ198" s="413"/>
      <c r="BA198" s="413"/>
      <c r="BB198" s="413"/>
      <c r="BC198" s="413"/>
      <c r="BD198" s="413"/>
      <c r="BE198" s="413"/>
      <c r="BF198" s="413"/>
      <c r="BG198" s="413"/>
      <c r="BH198" s="413"/>
      <c r="BI198" s="413"/>
      <c r="BJ198" s="413"/>
      <c r="BK198" s="413"/>
      <c r="BL198" s="413"/>
      <c r="BM198" s="413"/>
      <c r="BN198" s="413"/>
      <c r="BO198" s="413"/>
      <c r="BP198" s="413"/>
      <c r="BQ198" s="413"/>
      <c r="BR198" s="413"/>
      <c r="BS198" s="413"/>
      <c r="BT198" s="413"/>
      <c r="BU198" s="413"/>
      <c r="BV198" s="413"/>
      <c r="BW198" s="413"/>
      <c r="BX198" s="413"/>
      <c r="BY198" s="413"/>
      <c r="BZ198" s="413"/>
      <c r="CA198" s="413"/>
      <c r="CB198" s="413"/>
    </row>
    <row r="199" spans="1:80" x14ac:dyDescent="0.25">
      <c r="B199" s="412">
        <v>548</v>
      </c>
      <c r="C199" s="302" t="s">
        <v>334</v>
      </c>
      <c r="D199" s="302">
        <v>0</v>
      </c>
      <c r="E199" s="413">
        <v>0</v>
      </c>
      <c r="F199" s="413">
        <v>0</v>
      </c>
      <c r="G199" s="413">
        <v>0</v>
      </c>
      <c r="H199" s="413">
        <v>0</v>
      </c>
      <c r="I199" s="413">
        <v>0</v>
      </c>
      <c r="J199" s="413">
        <v>0</v>
      </c>
      <c r="K199" s="413">
        <v>0</v>
      </c>
      <c r="L199" s="413">
        <v>0</v>
      </c>
      <c r="M199" s="413">
        <v>0</v>
      </c>
      <c r="N199" s="413">
        <v>0</v>
      </c>
      <c r="O199" s="413">
        <v>0</v>
      </c>
      <c r="P199" s="413">
        <v>0</v>
      </c>
      <c r="Q199" s="413">
        <v>0</v>
      </c>
      <c r="R199" s="413">
        <v>0</v>
      </c>
      <c r="S199" s="413">
        <v>0</v>
      </c>
      <c r="T199" s="413">
        <v>0</v>
      </c>
      <c r="U199" s="413">
        <v>0</v>
      </c>
      <c r="V199" s="413">
        <v>0</v>
      </c>
      <c r="W199" s="413">
        <v>0</v>
      </c>
      <c r="X199" s="413">
        <v>0</v>
      </c>
      <c r="Y199" s="413">
        <v>0</v>
      </c>
      <c r="Z199" s="413">
        <v>0</v>
      </c>
      <c r="AA199" s="413">
        <v>0</v>
      </c>
      <c r="AB199" s="413">
        <v>0</v>
      </c>
      <c r="AC199" s="413">
        <v>0</v>
      </c>
      <c r="AD199" s="413">
        <v>0</v>
      </c>
      <c r="AE199" s="413">
        <v>0</v>
      </c>
      <c r="AF199" s="413">
        <v>0</v>
      </c>
      <c r="AG199" s="413">
        <v>0</v>
      </c>
      <c r="AH199" s="413">
        <v>0</v>
      </c>
      <c r="AI199" s="413">
        <v>0</v>
      </c>
      <c r="AJ199" s="413">
        <v>0</v>
      </c>
      <c r="AK199" s="413">
        <v>0</v>
      </c>
      <c r="AL199" s="413">
        <v>0</v>
      </c>
      <c r="AM199" s="413">
        <v>0</v>
      </c>
      <c r="AN199" s="413">
        <v>0</v>
      </c>
      <c r="AO199" s="413">
        <v>0</v>
      </c>
      <c r="AP199" s="413">
        <v>0</v>
      </c>
      <c r="AQ199" s="413">
        <v>0</v>
      </c>
      <c r="AR199" s="413">
        <v>0</v>
      </c>
      <c r="AS199" s="413">
        <v>0</v>
      </c>
      <c r="AT199" s="413">
        <v>0</v>
      </c>
      <c r="AU199" s="413"/>
      <c r="AV199" s="413"/>
      <c r="AW199" s="413"/>
      <c r="AX199" s="413"/>
      <c r="AY199" s="413"/>
      <c r="AZ199" s="413"/>
      <c r="BA199" s="413"/>
      <c r="BB199" s="413"/>
      <c r="BC199" s="413"/>
      <c r="BD199" s="413"/>
      <c r="BE199" s="413"/>
      <c r="BF199" s="413"/>
      <c r="BG199" s="413"/>
      <c r="BH199" s="413"/>
      <c r="BI199" s="413"/>
      <c r="BJ199" s="413"/>
      <c r="BK199" s="413"/>
      <c r="BL199" s="413"/>
      <c r="BM199" s="413"/>
      <c r="BN199" s="413"/>
      <c r="BO199" s="413"/>
      <c r="BP199" s="413"/>
      <c r="BQ199" s="413"/>
      <c r="BR199" s="413"/>
      <c r="BS199" s="413"/>
      <c r="BT199" s="413"/>
      <c r="BU199" s="413"/>
      <c r="BV199" s="413"/>
      <c r="BW199" s="413"/>
      <c r="BX199" s="413"/>
      <c r="BY199" s="413"/>
      <c r="BZ199" s="413"/>
      <c r="CA199" s="413"/>
      <c r="CB199" s="413"/>
    </row>
    <row r="200" spans="1:80" x14ac:dyDescent="0.25">
      <c r="B200" s="412">
        <v>549</v>
      </c>
      <c r="C200" s="302" t="s">
        <v>1519</v>
      </c>
      <c r="D200" s="302">
        <v>0</v>
      </c>
      <c r="E200" s="413">
        <v>0</v>
      </c>
      <c r="F200" s="413">
        <v>0</v>
      </c>
      <c r="G200" s="413">
        <v>0</v>
      </c>
      <c r="H200" s="413">
        <v>0</v>
      </c>
      <c r="I200" s="413">
        <v>0</v>
      </c>
      <c r="J200" s="413">
        <v>0</v>
      </c>
      <c r="K200" s="413">
        <v>0</v>
      </c>
      <c r="L200" s="413">
        <v>0</v>
      </c>
      <c r="M200" s="413">
        <v>0</v>
      </c>
      <c r="N200" s="413">
        <v>0</v>
      </c>
      <c r="O200" s="413">
        <v>0</v>
      </c>
      <c r="P200" s="413">
        <v>0</v>
      </c>
      <c r="Q200" s="413">
        <v>0</v>
      </c>
      <c r="R200" s="413">
        <v>0</v>
      </c>
      <c r="S200" s="413">
        <v>0</v>
      </c>
      <c r="T200" s="413">
        <v>0</v>
      </c>
      <c r="U200" s="413">
        <v>0</v>
      </c>
      <c r="V200" s="413">
        <v>0</v>
      </c>
      <c r="W200" s="413">
        <v>0</v>
      </c>
      <c r="X200" s="413">
        <v>0</v>
      </c>
      <c r="Y200" s="413">
        <v>0</v>
      </c>
      <c r="Z200" s="413">
        <v>0</v>
      </c>
      <c r="AA200" s="413">
        <v>0</v>
      </c>
      <c r="AB200" s="413">
        <v>0</v>
      </c>
      <c r="AC200" s="413">
        <v>0</v>
      </c>
      <c r="AD200" s="413">
        <v>0</v>
      </c>
      <c r="AE200" s="413">
        <v>0</v>
      </c>
      <c r="AF200" s="413">
        <v>0</v>
      </c>
      <c r="AG200" s="413">
        <v>0</v>
      </c>
      <c r="AH200" s="413">
        <v>0</v>
      </c>
      <c r="AI200" s="413">
        <v>0</v>
      </c>
      <c r="AJ200" s="413">
        <v>0</v>
      </c>
      <c r="AK200" s="413">
        <v>0</v>
      </c>
      <c r="AL200" s="413">
        <v>0</v>
      </c>
      <c r="AM200" s="413">
        <v>0</v>
      </c>
      <c r="AN200" s="413">
        <v>0</v>
      </c>
      <c r="AO200" s="413">
        <v>0</v>
      </c>
      <c r="AP200" s="413">
        <v>0</v>
      </c>
      <c r="AQ200" s="413">
        <v>0</v>
      </c>
      <c r="AR200" s="413">
        <v>0</v>
      </c>
      <c r="AS200" s="413">
        <v>0</v>
      </c>
      <c r="AT200" s="413">
        <v>0</v>
      </c>
      <c r="AU200" s="413"/>
      <c r="AV200" s="413"/>
      <c r="AW200" s="413"/>
      <c r="AX200" s="413"/>
      <c r="AY200" s="413"/>
      <c r="AZ200" s="413"/>
      <c r="BA200" s="413"/>
      <c r="BB200" s="413"/>
      <c r="BC200" s="413"/>
      <c r="BD200" s="413"/>
      <c r="BE200" s="413"/>
      <c r="BF200" s="413"/>
      <c r="BG200" s="413"/>
      <c r="BH200" s="413"/>
      <c r="BI200" s="413"/>
      <c r="BJ200" s="413"/>
      <c r="BK200" s="413"/>
      <c r="BL200" s="413"/>
      <c r="BM200" s="413"/>
      <c r="BN200" s="413"/>
      <c r="BO200" s="413"/>
      <c r="BP200" s="413"/>
      <c r="BQ200" s="413"/>
      <c r="BR200" s="413"/>
      <c r="BS200" s="413"/>
      <c r="BT200" s="413"/>
      <c r="BU200" s="413"/>
      <c r="BV200" s="413"/>
      <c r="BW200" s="413"/>
      <c r="BX200" s="413"/>
      <c r="BY200" s="413"/>
      <c r="BZ200" s="413"/>
      <c r="CA200" s="413"/>
      <c r="CB200" s="413"/>
    </row>
    <row r="201" spans="1:80" x14ac:dyDescent="0.25">
      <c r="B201" s="412">
        <v>550</v>
      </c>
      <c r="C201" s="302" t="s">
        <v>363</v>
      </c>
      <c r="D201" s="302">
        <v>0</v>
      </c>
      <c r="E201" s="413">
        <v>0</v>
      </c>
      <c r="F201" s="413">
        <v>0</v>
      </c>
      <c r="G201" s="413">
        <v>0</v>
      </c>
      <c r="H201" s="413">
        <v>0</v>
      </c>
      <c r="I201" s="413">
        <v>0</v>
      </c>
      <c r="J201" s="413">
        <v>0</v>
      </c>
      <c r="K201" s="413">
        <v>0</v>
      </c>
      <c r="L201" s="413">
        <v>0</v>
      </c>
      <c r="M201" s="413">
        <v>0</v>
      </c>
      <c r="N201" s="413">
        <v>0</v>
      </c>
      <c r="O201" s="413">
        <v>0</v>
      </c>
      <c r="P201" s="413">
        <v>0</v>
      </c>
      <c r="Q201" s="413">
        <v>0</v>
      </c>
      <c r="R201" s="413">
        <v>0</v>
      </c>
      <c r="S201" s="413">
        <v>0</v>
      </c>
      <c r="T201" s="413">
        <v>0</v>
      </c>
      <c r="U201" s="413">
        <v>0</v>
      </c>
      <c r="V201" s="413">
        <v>0</v>
      </c>
      <c r="W201" s="413">
        <v>0</v>
      </c>
      <c r="X201" s="413">
        <v>0</v>
      </c>
      <c r="Y201" s="413">
        <v>0</v>
      </c>
      <c r="Z201" s="413">
        <v>0</v>
      </c>
      <c r="AA201" s="413">
        <v>0</v>
      </c>
      <c r="AB201" s="413">
        <v>0</v>
      </c>
      <c r="AC201" s="413">
        <v>0</v>
      </c>
      <c r="AD201" s="413">
        <v>0</v>
      </c>
      <c r="AE201" s="413">
        <v>0</v>
      </c>
      <c r="AF201" s="413">
        <v>0</v>
      </c>
      <c r="AG201" s="413">
        <v>0</v>
      </c>
      <c r="AH201" s="413">
        <v>0</v>
      </c>
      <c r="AI201" s="413">
        <v>0</v>
      </c>
      <c r="AJ201" s="413">
        <v>0</v>
      </c>
      <c r="AK201" s="413">
        <v>0</v>
      </c>
      <c r="AL201" s="413">
        <v>0</v>
      </c>
      <c r="AM201" s="413">
        <v>0</v>
      </c>
      <c r="AN201" s="413">
        <v>0</v>
      </c>
      <c r="AO201" s="413">
        <v>0</v>
      </c>
      <c r="AP201" s="413">
        <v>0</v>
      </c>
      <c r="AQ201" s="413">
        <v>0</v>
      </c>
      <c r="AR201" s="413">
        <v>0</v>
      </c>
      <c r="AS201" s="413">
        <v>0</v>
      </c>
      <c r="AT201" s="413">
        <v>0</v>
      </c>
      <c r="AU201" s="413"/>
      <c r="AV201" s="413"/>
      <c r="AW201" s="413"/>
      <c r="AX201" s="413"/>
      <c r="AY201" s="413"/>
      <c r="AZ201" s="413"/>
      <c r="BA201" s="413"/>
      <c r="BB201" s="413"/>
      <c r="BC201" s="413"/>
      <c r="BD201" s="413"/>
      <c r="BE201" s="413"/>
      <c r="BF201" s="413"/>
      <c r="BG201" s="413"/>
      <c r="BH201" s="413"/>
      <c r="BI201" s="413"/>
      <c r="BJ201" s="413"/>
      <c r="BK201" s="413"/>
      <c r="BL201" s="413"/>
      <c r="BM201" s="413"/>
      <c r="BN201" s="413"/>
      <c r="BO201" s="413"/>
      <c r="BP201" s="413"/>
      <c r="BQ201" s="413"/>
      <c r="BR201" s="413"/>
      <c r="BS201" s="413"/>
      <c r="BT201" s="413"/>
      <c r="BU201" s="413"/>
      <c r="BV201" s="413"/>
      <c r="BW201" s="413"/>
      <c r="BX201" s="413"/>
      <c r="BY201" s="413"/>
      <c r="BZ201" s="413"/>
      <c r="CA201" s="413"/>
      <c r="CB201" s="413"/>
    </row>
    <row r="202" spans="1:80" x14ac:dyDescent="0.25">
      <c r="B202" s="412">
        <v>551</v>
      </c>
      <c r="C202" s="302" t="s">
        <v>1520</v>
      </c>
      <c r="D202" s="302">
        <v>0</v>
      </c>
      <c r="E202" s="413">
        <v>0</v>
      </c>
      <c r="F202" s="413">
        <v>0</v>
      </c>
      <c r="G202" s="413">
        <v>0</v>
      </c>
      <c r="H202" s="413">
        <v>0</v>
      </c>
      <c r="I202" s="413">
        <v>0</v>
      </c>
      <c r="J202" s="413">
        <v>0</v>
      </c>
      <c r="K202" s="413">
        <v>0</v>
      </c>
      <c r="L202" s="413">
        <v>0</v>
      </c>
      <c r="M202" s="413">
        <v>0</v>
      </c>
      <c r="N202" s="413">
        <v>0</v>
      </c>
      <c r="O202" s="413">
        <v>0</v>
      </c>
      <c r="P202" s="413">
        <v>0</v>
      </c>
      <c r="Q202" s="413">
        <v>0</v>
      </c>
      <c r="R202" s="413">
        <v>0</v>
      </c>
      <c r="S202" s="413">
        <v>0</v>
      </c>
      <c r="T202" s="413">
        <v>0</v>
      </c>
      <c r="U202" s="413">
        <v>0</v>
      </c>
      <c r="V202" s="413">
        <v>0</v>
      </c>
      <c r="W202" s="413">
        <v>0</v>
      </c>
      <c r="X202" s="413">
        <v>0</v>
      </c>
      <c r="Y202" s="413">
        <v>0</v>
      </c>
      <c r="Z202" s="413">
        <v>0</v>
      </c>
      <c r="AA202" s="413">
        <v>0</v>
      </c>
      <c r="AB202" s="413">
        <v>0</v>
      </c>
      <c r="AC202" s="413">
        <v>0</v>
      </c>
      <c r="AD202" s="413">
        <v>0</v>
      </c>
      <c r="AE202" s="413">
        <v>0</v>
      </c>
      <c r="AF202" s="413">
        <v>0</v>
      </c>
      <c r="AG202" s="413">
        <v>0</v>
      </c>
      <c r="AH202" s="413">
        <v>0</v>
      </c>
      <c r="AI202" s="413">
        <v>0</v>
      </c>
      <c r="AJ202" s="413">
        <v>0</v>
      </c>
      <c r="AK202" s="413">
        <v>0</v>
      </c>
      <c r="AL202" s="413">
        <v>0</v>
      </c>
      <c r="AM202" s="413">
        <v>0</v>
      </c>
      <c r="AN202" s="413">
        <v>0</v>
      </c>
      <c r="AO202" s="413">
        <v>0</v>
      </c>
      <c r="AP202" s="413">
        <v>0</v>
      </c>
      <c r="AQ202" s="413">
        <v>0</v>
      </c>
      <c r="AR202" s="413">
        <v>0</v>
      </c>
      <c r="AS202" s="413">
        <v>0</v>
      </c>
      <c r="AT202" s="413">
        <v>0</v>
      </c>
      <c r="AU202" s="413"/>
      <c r="AV202" s="413"/>
      <c r="AW202" s="413"/>
      <c r="AX202" s="413"/>
      <c r="AY202" s="413"/>
      <c r="AZ202" s="413"/>
      <c r="BA202" s="413"/>
      <c r="BB202" s="413"/>
      <c r="BC202" s="413"/>
      <c r="BD202" s="413"/>
      <c r="BE202" s="413"/>
      <c r="BF202" s="413"/>
      <c r="BG202" s="413"/>
      <c r="BH202" s="413"/>
      <c r="BI202" s="413"/>
      <c r="BJ202" s="413"/>
      <c r="BK202" s="413"/>
      <c r="BL202" s="413"/>
      <c r="BM202" s="413"/>
      <c r="BN202" s="413"/>
      <c r="BO202" s="413"/>
      <c r="BP202" s="413"/>
      <c r="BQ202" s="413"/>
      <c r="BR202" s="413"/>
      <c r="BS202" s="413"/>
      <c r="BT202" s="413"/>
      <c r="BU202" s="413"/>
      <c r="BV202" s="413"/>
      <c r="BW202" s="413"/>
      <c r="BX202" s="413"/>
      <c r="BY202" s="413"/>
      <c r="BZ202" s="413"/>
      <c r="CA202" s="413"/>
      <c r="CB202" s="413"/>
    </row>
    <row r="203" spans="1:80" x14ac:dyDescent="0.25">
      <c r="B203" s="412">
        <v>552</v>
      </c>
      <c r="C203" s="302" t="s">
        <v>336</v>
      </c>
      <c r="D203" s="302">
        <v>0</v>
      </c>
      <c r="E203" s="413">
        <v>0</v>
      </c>
      <c r="F203" s="413">
        <v>0</v>
      </c>
      <c r="G203" s="413">
        <v>0</v>
      </c>
      <c r="H203" s="413">
        <v>0</v>
      </c>
      <c r="I203" s="413">
        <v>0</v>
      </c>
      <c r="J203" s="413">
        <v>0</v>
      </c>
      <c r="K203" s="413">
        <v>0</v>
      </c>
      <c r="L203" s="413">
        <v>0</v>
      </c>
      <c r="M203" s="413">
        <v>0</v>
      </c>
      <c r="N203" s="413">
        <v>0</v>
      </c>
      <c r="O203" s="413">
        <v>0</v>
      </c>
      <c r="P203" s="413">
        <v>0</v>
      </c>
      <c r="Q203" s="413">
        <v>0</v>
      </c>
      <c r="R203" s="413">
        <v>0</v>
      </c>
      <c r="S203" s="413">
        <v>0</v>
      </c>
      <c r="T203" s="413">
        <v>0</v>
      </c>
      <c r="U203" s="413">
        <v>0</v>
      </c>
      <c r="V203" s="413">
        <v>0</v>
      </c>
      <c r="W203" s="413">
        <v>0</v>
      </c>
      <c r="X203" s="413">
        <v>0</v>
      </c>
      <c r="Y203" s="413">
        <v>0</v>
      </c>
      <c r="Z203" s="413">
        <v>0</v>
      </c>
      <c r="AA203" s="413">
        <v>0</v>
      </c>
      <c r="AB203" s="413">
        <v>0</v>
      </c>
      <c r="AC203" s="413">
        <v>0</v>
      </c>
      <c r="AD203" s="413">
        <v>0</v>
      </c>
      <c r="AE203" s="413">
        <v>0</v>
      </c>
      <c r="AF203" s="413">
        <v>0</v>
      </c>
      <c r="AG203" s="413">
        <v>0</v>
      </c>
      <c r="AH203" s="413">
        <v>0</v>
      </c>
      <c r="AI203" s="413">
        <v>0</v>
      </c>
      <c r="AJ203" s="413">
        <v>0</v>
      </c>
      <c r="AK203" s="413">
        <v>0</v>
      </c>
      <c r="AL203" s="413">
        <v>0</v>
      </c>
      <c r="AM203" s="413">
        <v>0</v>
      </c>
      <c r="AN203" s="413">
        <v>0</v>
      </c>
      <c r="AO203" s="413">
        <v>0</v>
      </c>
      <c r="AP203" s="413">
        <v>0</v>
      </c>
      <c r="AQ203" s="413">
        <v>0</v>
      </c>
      <c r="AR203" s="413">
        <v>0</v>
      </c>
      <c r="AS203" s="413">
        <v>0</v>
      </c>
      <c r="AT203" s="413">
        <v>0</v>
      </c>
      <c r="AU203" s="413"/>
      <c r="AV203" s="413"/>
      <c r="AW203" s="413"/>
      <c r="AX203" s="413"/>
      <c r="AY203" s="413"/>
      <c r="AZ203" s="413"/>
      <c r="BA203" s="413"/>
      <c r="BB203" s="413"/>
      <c r="BC203" s="413"/>
      <c r="BD203" s="413"/>
      <c r="BE203" s="413"/>
      <c r="BF203" s="413"/>
      <c r="BG203" s="413"/>
      <c r="BH203" s="413"/>
      <c r="BI203" s="413"/>
      <c r="BJ203" s="413"/>
      <c r="BK203" s="413"/>
      <c r="BL203" s="413"/>
      <c r="BM203" s="413"/>
      <c r="BN203" s="413"/>
      <c r="BO203" s="413"/>
      <c r="BP203" s="413"/>
      <c r="BQ203" s="413"/>
      <c r="BR203" s="413"/>
      <c r="BS203" s="413"/>
      <c r="BT203" s="413"/>
      <c r="BU203" s="413"/>
      <c r="BV203" s="413"/>
      <c r="BW203" s="413"/>
      <c r="BX203" s="413"/>
      <c r="BY203" s="413"/>
      <c r="BZ203" s="413"/>
      <c r="CA203" s="413"/>
      <c r="CB203" s="413"/>
    </row>
    <row r="204" spans="1:80" x14ac:dyDescent="0.25">
      <c r="B204" s="412">
        <v>553</v>
      </c>
      <c r="C204" s="302" t="s">
        <v>364</v>
      </c>
      <c r="D204" s="302">
        <v>0</v>
      </c>
      <c r="E204" s="413">
        <v>0</v>
      </c>
      <c r="F204" s="413">
        <v>0</v>
      </c>
      <c r="G204" s="413">
        <v>0</v>
      </c>
      <c r="H204" s="413">
        <v>0</v>
      </c>
      <c r="I204" s="413">
        <v>0</v>
      </c>
      <c r="J204" s="413">
        <v>0</v>
      </c>
      <c r="K204" s="413">
        <v>0</v>
      </c>
      <c r="L204" s="413">
        <v>0</v>
      </c>
      <c r="M204" s="413">
        <v>0</v>
      </c>
      <c r="N204" s="413">
        <v>0</v>
      </c>
      <c r="O204" s="413">
        <v>0</v>
      </c>
      <c r="P204" s="413">
        <v>0</v>
      </c>
      <c r="Q204" s="413">
        <v>0</v>
      </c>
      <c r="R204" s="413">
        <v>0</v>
      </c>
      <c r="S204" s="413">
        <v>0</v>
      </c>
      <c r="T204" s="413">
        <v>0</v>
      </c>
      <c r="U204" s="413">
        <v>0</v>
      </c>
      <c r="V204" s="413">
        <v>0</v>
      </c>
      <c r="W204" s="413">
        <v>0</v>
      </c>
      <c r="X204" s="413">
        <v>0</v>
      </c>
      <c r="Y204" s="413">
        <v>0</v>
      </c>
      <c r="Z204" s="413">
        <v>0</v>
      </c>
      <c r="AA204" s="413">
        <v>0</v>
      </c>
      <c r="AB204" s="413">
        <v>0</v>
      </c>
      <c r="AC204" s="413">
        <v>0</v>
      </c>
      <c r="AD204" s="413">
        <v>0</v>
      </c>
      <c r="AE204" s="413">
        <v>0</v>
      </c>
      <c r="AF204" s="413">
        <v>0</v>
      </c>
      <c r="AG204" s="413">
        <v>0</v>
      </c>
      <c r="AH204" s="413">
        <v>0</v>
      </c>
      <c r="AI204" s="413">
        <v>0</v>
      </c>
      <c r="AJ204" s="413">
        <v>0</v>
      </c>
      <c r="AK204" s="413">
        <v>0</v>
      </c>
      <c r="AL204" s="413">
        <v>0</v>
      </c>
      <c r="AM204" s="413">
        <v>0</v>
      </c>
      <c r="AN204" s="413">
        <v>0</v>
      </c>
      <c r="AO204" s="413">
        <v>0</v>
      </c>
      <c r="AP204" s="413">
        <v>0</v>
      </c>
      <c r="AQ204" s="413">
        <v>0</v>
      </c>
      <c r="AR204" s="413">
        <v>0</v>
      </c>
      <c r="AS204" s="413">
        <v>0</v>
      </c>
      <c r="AT204" s="413">
        <v>0</v>
      </c>
      <c r="AU204" s="413"/>
      <c r="AV204" s="413"/>
      <c r="AW204" s="413"/>
      <c r="AX204" s="413"/>
      <c r="AY204" s="413"/>
      <c r="AZ204" s="413"/>
      <c r="BA204" s="413"/>
      <c r="BB204" s="413"/>
      <c r="BC204" s="413"/>
      <c r="BD204" s="413"/>
      <c r="BE204" s="413"/>
      <c r="BF204" s="413"/>
      <c r="BG204" s="413"/>
      <c r="BH204" s="413"/>
      <c r="BI204" s="413"/>
      <c r="BJ204" s="413"/>
      <c r="BK204" s="413"/>
      <c r="BL204" s="413"/>
      <c r="BM204" s="413"/>
      <c r="BN204" s="413"/>
      <c r="BO204" s="413"/>
      <c r="BP204" s="413"/>
      <c r="BQ204" s="413"/>
      <c r="BR204" s="413"/>
      <c r="BS204" s="413"/>
      <c r="BT204" s="413"/>
      <c r="BU204" s="413"/>
      <c r="BV204" s="413"/>
      <c r="BW204" s="413"/>
      <c r="BX204" s="413"/>
      <c r="BY204" s="413"/>
      <c r="BZ204" s="413"/>
      <c r="CA204" s="413"/>
      <c r="CB204" s="413"/>
    </row>
    <row r="205" spans="1:80" x14ac:dyDescent="0.25">
      <c r="A205" s="302">
        <v>554</v>
      </c>
      <c r="B205" s="412">
        <v>554</v>
      </c>
      <c r="C205" s="302" t="s">
        <v>365</v>
      </c>
      <c r="D205" s="302">
        <v>1090107</v>
      </c>
      <c r="E205" s="413">
        <v>0</v>
      </c>
      <c r="F205" s="413">
        <v>0</v>
      </c>
      <c r="G205" s="413">
        <v>2488565</v>
      </c>
      <c r="H205" s="413">
        <v>0</v>
      </c>
      <c r="I205" s="413">
        <v>0</v>
      </c>
      <c r="J205" s="413">
        <v>0</v>
      </c>
      <c r="K205" s="413">
        <v>0</v>
      </c>
      <c r="L205" s="413">
        <v>7777218</v>
      </c>
      <c r="M205" s="413">
        <v>0</v>
      </c>
      <c r="N205" s="413">
        <v>0</v>
      </c>
      <c r="O205" s="413">
        <v>0</v>
      </c>
      <c r="P205" s="413">
        <v>0</v>
      </c>
      <c r="Q205" s="413">
        <v>0</v>
      </c>
      <c r="R205" s="413">
        <v>0</v>
      </c>
      <c r="S205" s="413">
        <v>0</v>
      </c>
      <c r="T205" s="413">
        <v>0</v>
      </c>
      <c r="U205" s="413">
        <v>0</v>
      </c>
      <c r="V205" s="413">
        <v>0</v>
      </c>
      <c r="W205" s="413">
        <v>0</v>
      </c>
      <c r="X205" s="413">
        <v>1043237</v>
      </c>
      <c r="Y205" s="413">
        <v>0</v>
      </c>
      <c r="Z205" s="413">
        <v>0</v>
      </c>
      <c r="AA205" s="413">
        <v>6429916</v>
      </c>
      <c r="AB205" s="413">
        <v>0</v>
      </c>
      <c r="AC205" s="413">
        <v>0</v>
      </c>
      <c r="AD205" s="413">
        <v>0</v>
      </c>
      <c r="AE205" s="413">
        <v>0</v>
      </c>
      <c r="AF205" s="413">
        <v>0</v>
      </c>
      <c r="AG205" s="413">
        <v>0</v>
      </c>
      <c r="AH205" s="413">
        <v>0</v>
      </c>
      <c r="AI205" s="413">
        <v>3634387</v>
      </c>
      <c r="AJ205" s="413">
        <v>0</v>
      </c>
      <c r="AK205" s="413">
        <v>303393</v>
      </c>
      <c r="AL205" s="413">
        <v>0</v>
      </c>
      <c r="AM205" s="413">
        <v>0</v>
      </c>
      <c r="AN205" s="413">
        <v>0</v>
      </c>
      <c r="AO205" s="413">
        <v>0</v>
      </c>
      <c r="AP205" s="413">
        <v>0</v>
      </c>
      <c r="AQ205" s="413">
        <v>0</v>
      </c>
      <c r="AR205" s="413">
        <v>3190555</v>
      </c>
      <c r="AS205" s="413">
        <v>0</v>
      </c>
      <c r="AT205" s="413">
        <v>0</v>
      </c>
      <c r="AU205" s="413"/>
      <c r="AV205" s="413"/>
      <c r="AW205" s="413"/>
      <c r="AX205" s="413"/>
      <c r="AY205" s="413"/>
      <c r="AZ205" s="413"/>
      <c r="BA205" s="413"/>
      <c r="BB205" s="413"/>
      <c r="BC205" s="413"/>
      <c r="BD205" s="413"/>
      <c r="BE205" s="413"/>
      <c r="BF205" s="413"/>
      <c r="BG205" s="413"/>
      <c r="BH205" s="413"/>
      <c r="BI205" s="413"/>
      <c r="BJ205" s="413"/>
      <c r="BK205" s="413"/>
      <c r="BL205" s="413"/>
      <c r="BM205" s="413"/>
      <c r="BN205" s="413"/>
      <c r="BO205" s="413"/>
      <c r="BP205" s="413"/>
      <c r="BQ205" s="413"/>
      <c r="BR205" s="413"/>
      <c r="BS205" s="413"/>
      <c r="BT205" s="413"/>
      <c r="BU205" s="413"/>
      <c r="BV205" s="413"/>
      <c r="BW205" s="413"/>
      <c r="BX205" s="413"/>
      <c r="BY205" s="413"/>
      <c r="BZ205" s="413"/>
      <c r="CA205" s="413"/>
      <c r="CB205" s="413"/>
    </row>
    <row r="206" spans="1:80" x14ac:dyDescent="0.25">
      <c r="A206" s="302">
        <v>555</v>
      </c>
      <c r="B206" s="412">
        <v>555</v>
      </c>
      <c r="C206" s="302" t="s">
        <v>366</v>
      </c>
      <c r="D206" s="302">
        <v>320919</v>
      </c>
      <c r="E206" s="413">
        <v>0</v>
      </c>
      <c r="F206" s="413">
        <v>0</v>
      </c>
      <c r="G206" s="413">
        <v>2488565</v>
      </c>
      <c r="H206" s="413">
        <v>0</v>
      </c>
      <c r="I206" s="413">
        <v>0</v>
      </c>
      <c r="J206" s="413">
        <v>0</v>
      </c>
      <c r="K206" s="413">
        <v>0</v>
      </c>
      <c r="L206" s="413">
        <v>7132771</v>
      </c>
      <c r="M206" s="413">
        <v>0</v>
      </c>
      <c r="N206" s="413">
        <v>0</v>
      </c>
      <c r="O206" s="413">
        <v>0</v>
      </c>
      <c r="P206" s="413">
        <v>0</v>
      </c>
      <c r="Q206" s="413">
        <v>0</v>
      </c>
      <c r="R206" s="413">
        <v>0</v>
      </c>
      <c r="S206" s="413">
        <v>0</v>
      </c>
      <c r="T206" s="413">
        <v>0</v>
      </c>
      <c r="U206" s="413">
        <v>0</v>
      </c>
      <c r="V206" s="413">
        <v>0</v>
      </c>
      <c r="W206" s="413">
        <v>0</v>
      </c>
      <c r="X206" s="413">
        <v>653985</v>
      </c>
      <c r="Y206" s="413">
        <v>0</v>
      </c>
      <c r="Z206" s="413">
        <v>0</v>
      </c>
      <c r="AA206" s="413">
        <v>5653984</v>
      </c>
      <c r="AB206" s="413">
        <v>0</v>
      </c>
      <c r="AC206" s="413">
        <v>0</v>
      </c>
      <c r="AD206" s="413">
        <v>0</v>
      </c>
      <c r="AE206" s="413">
        <v>0</v>
      </c>
      <c r="AF206" s="413">
        <v>0</v>
      </c>
      <c r="AG206" s="413">
        <v>0</v>
      </c>
      <c r="AH206" s="413">
        <v>0</v>
      </c>
      <c r="AI206" s="413">
        <v>979006</v>
      </c>
      <c r="AJ206" s="413">
        <v>0</v>
      </c>
      <c r="AK206" s="413">
        <v>137899</v>
      </c>
      <c r="AL206" s="413">
        <v>0</v>
      </c>
      <c r="AM206" s="413">
        <v>0</v>
      </c>
      <c r="AN206" s="413">
        <v>0</v>
      </c>
      <c r="AO206" s="413">
        <v>0</v>
      </c>
      <c r="AP206" s="413">
        <v>0</v>
      </c>
      <c r="AQ206" s="413">
        <v>0</v>
      </c>
      <c r="AR206" s="413">
        <v>2451680</v>
      </c>
      <c r="AS206" s="413">
        <v>0</v>
      </c>
      <c r="AT206" s="413">
        <v>0</v>
      </c>
      <c r="AU206" s="413"/>
      <c r="AV206" s="413"/>
      <c r="AW206" s="413"/>
      <c r="AX206" s="413"/>
      <c r="AY206" s="413"/>
      <c r="AZ206" s="413"/>
      <c r="BA206" s="413"/>
      <c r="BB206" s="413"/>
      <c r="BC206" s="413"/>
      <c r="BD206" s="413"/>
      <c r="BE206" s="413"/>
      <c r="BF206" s="413"/>
      <c r="BG206" s="413"/>
      <c r="BH206" s="413"/>
      <c r="BI206" s="413"/>
      <c r="BJ206" s="413"/>
      <c r="BK206" s="413"/>
      <c r="BL206" s="413"/>
      <c r="BM206" s="413"/>
      <c r="BN206" s="413"/>
      <c r="BO206" s="413"/>
      <c r="BP206" s="413"/>
      <c r="BQ206" s="413"/>
      <c r="BR206" s="413"/>
      <c r="BS206" s="413"/>
      <c r="BT206" s="413"/>
      <c r="BU206" s="413"/>
      <c r="BV206" s="413"/>
      <c r="BW206" s="413"/>
      <c r="BX206" s="413"/>
      <c r="BY206" s="413"/>
      <c r="BZ206" s="413"/>
      <c r="CA206" s="413"/>
      <c r="CB206" s="413"/>
    </row>
    <row r="207" spans="1:80" x14ac:dyDescent="0.25">
      <c r="A207" s="302">
        <v>556</v>
      </c>
      <c r="B207" s="412">
        <v>556</v>
      </c>
      <c r="C207" s="302" t="s">
        <v>367</v>
      </c>
      <c r="D207" s="302">
        <v>263018</v>
      </c>
      <c r="E207" s="413">
        <v>0</v>
      </c>
      <c r="F207" s="413">
        <v>0</v>
      </c>
      <c r="G207" s="413">
        <v>1398382</v>
      </c>
      <c r="H207" s="413">
        <v>0</v>
      </c>
      <c r="I207" s="413">
        <v>0</v>
      </c>
      <c r="J207" s="413">
        <v>0</v>
      </c>
      <c r="K207" s="413">
        <v>0</v>
      </c>
      <c r="L207" s="413">
        <v>1404216</v>
      </c>
      <c r="M207" s="413">
        <v>0</v>
      </c>
      <c r="N207" s="413">
        <v>0</v>
      </c>
      <c r="O207" s="413">
        <v>0</v>
      </c>
      <c r="P207" s="413">
        <v>0</v>
      </c>
      <c r="Q207" s="413">
        <v>0</v>
      </c>
      <c r="R207" s="413">
        <v>0</v>
      </c>
      <c r="S207" s="413">
        <v>0</v>
      </c>
      <c r="T207" s="413">
        <v>0</v>
      </c>
      <c r="U207" s="413">
        <v>0</v>
      </c>
      <c r="V207" s="413">
        <v>0</v>
      </c>
      <c r="W207" s="413">
        <v>0</v>
      </c>
      <c r="X207" s="413">
        <v>518973</v>
      </c>
      <c r="Y207" s="413">
        <v>0</v>
      </c>
      <c r="Z207" s="413">
        <v>0</v>
      </c>
      <c r="AA207" s="413">
        <v>781177</v>
      </c>
      <c r="AB207" s="413">
        <v>0</v>
      </c>
      <c r="AC207" s="413">
        <v>0</v>
      </c>
      <c r="AD207" s="413">
        <v>0</v>
      </c>
      <c r="AE207" s="413">
        <v>0</v>
      </c>
      <c r="AF207" s="413">
        <v>0</v>
      </c>
      <c r="AG207" s="413">
        <v>0</v>
      </c>
      <c r="AH207" s="413">
        <v>0</v>
      </c>
      <c r="AI207" s="413">
        <v>1197189</v>
      </c>
      <c r="AJ207" s="413">
        <v>0</v>
      </c>
      <c r="AK207" s="413">
        <v>2141952</v>
      </c>
      <c r="AL207" s="413">
        <v>0</v>
      </c>
      <c r="AM207" s="413">
        <v>0</v>
      </c>
      <c r="AN207" s="413">
        <v>0</v>
      </c>
      <c r="AO207" s="413">
        <v>0</v>
      </c>
      <c r="AP207" s="413">
        <v>0</v>
      </c>
      <c r="AQ207" s="413">
        <v>0</v>
      </c>
      <c r="AR207" s="413">
        <v>902130</v>
      </c>
      <c r="AS207" s="413">
        <v>0</v>
      </c>
      <c r="AT207" s="413">
        <v>0</v>
      </c>
      <c r="AU207" s="413"/>
      <c r="AV207" s="413"/>
      <c r="AW207" s="413"/>
      <c r="AX207" s="413"/>
      <c r="AY207" s="413"/>
      <c r="AZ207" s="413"/>
      <c r="BA207" s="413"/>
      <c r="BB207" s="413"/>
      <c r="BC207" s="413"/>
      <c r="BD207" s="413"/>
      <c r="BE207" s="413"/>
      <c r="BF207" s="413"/>
      <c r="BG207" s="413"/>
      <c r="BH207" s="413"/>
      <c r="BI207" s="413"/>
      <c r="BJ207" s="413"/>
      <c r="BK207" s="413"/>
      <c r="BL207" s="413"/>
      <c r="BM207" s="413"/>
      <c r="BN207" s="413"/>
      <c r="BO207" s="413"/>
      <c r="BP207" s="413"/>
      <c r="BQ207" s="413"/>
      <c r="BR207" s="413"/>
      <c r="BS207" s="413"/>
      <c r="BT207" s="413"/>
      <c r="BU207" s="413"/>
      <c r="BV207" s="413"/>
      <c r="BW207" s="413"/>
      <c r="BX207" s="413"/>
      <c r="BY207" s="413"/>
      <c r="BZ207" s="413"/>
      <c r="CA207" s="413"/>
      <c r="CB207" s="413"/>
    </row>
    <row r="208" spans="1:80" x14ac:dyDescent="0.25">
      <c r="A208" s="302">
        <v>557</v>
      </c>
      <c r="B208" s="302">
        <v>557</v>
      </c>
      <c r="C208" s="302" t="s">
        <v>368</v>
      </c>
      <c r="D208" s="302">
        <v>0</v>
      </c>
      <c r="E208" s="413">
        <v>0</v>
      </c>
      <c r="F208" s="413">
        <v>0</v>
      </c>
      <c r="G208" s="413">
        <v>911835</v>
      </c>
      <c r="H208" s="413">
        <v>0</v>
      </c>
      <c r="I208" s="413">
        <v>0</v>
      </c>
      <c r="J208" s="413">
        <v>0</v>
      </c>
      <c r="K208" s="413">
        <v>0</v>
      </c>
      <c r="L208" s="413">
        <v>943937</v>
      </c>
      <c r="M208" s="413">
        <v>0</v>
      </c>
      <c r="N208" s="413">
        <v>0</v>
      </c>
      <c r="O208" s="413">
        <v>0</v>
      </c>
      <c r="P208" s="413">
        <v>0</v>
      </c>
      <c r="Q208" s="413">
        <v>0</v>
      </c>
      <c r="R208" s="413">
        <v>0</v>
      </c>
      <c r="S208" s="413">
        <v>0</v>
      </c>
      <c r="T208" s="413">
        <v>0</v>
      </c>
      <c r="U208" s="413">
        <v>0</v>
      </c>
      <c r="V208" s="413">
        <v>0</v>
      </c>
      <c r="W208" s="413">
        <v>0</v>
      </c>
      <c r="X208" s="413">
        <v>406248</v>
      </c>
      <c r="Y208" s="413">
        <v>0</v>
      </c>
      <c r="Z208" s="413">
        <v>0</v>
      </c>
      <c r="AA208" s="413">
        <v>748759</v>
      </c>
      <c r="AB208" s="413">
        <v>0</v>
      </c>
      <c r="AC208" s="413">
        <v>0</v>
      </c>
      <c r="AD208" s="413">
        <v>0</v>
      </c>
      <c r="AE208" s="413">
        <v>0</v>
      </c>
      <c r="AF208" s="413">
        <v>0</v>
      </c>
      <c r="AG208" s="413">
        <v>0</v>
      </c>
      <c r="AH208" s="413">
        <v>0</v>
      </c>
      <c r="AI208" s="413">
        <v>738481</v>
      </c>
      <c r="AJ208" s="413">
        <v>0</v>
      </c>
      <c r="AK208" s="413">
        <v>1294323</v>
      </c>
      <c r="AL208" s="413">
        <v>0</v>
      </c>
      <c r="AM208" s="413">
        <v>0</v>
      </c>
      <c r="AN208" s="413">
        <v>0</v>
      </c>
      <c r="AO208" s="413">
        <v>0</v>
      </c>
      <c r="AP208" s="413">
        <v>0</v>
      </c>
      <c r="AQ208" s="413">
        <v>0</v>
      </c>
      <c r="AR208" s="413">
        <v>717905</v>
      </c>
      <c r="AS208" s="413">
        <v>0</v>
      </c>
      <c r="AT208" s="413">
        <v>0</v>
      </c>
      <c r="AU208" s="413"/>
      <c r="AV208" s="413"/>
      <c r="AW208" s="413"/>
      <c r="AX208" s="413"/>
      <c r="AY208" s="413"/>
      <c r="AZ208" s="413"/>
      <c r="BA208" s="413"/>
      <c r="BB208" s="413"/>
      <c r="BC208" s="413"/>
      <c r="BD208" s="413"/>
      <c r="BE208" s="413"/>
      <c r="BF208" s="413"/>
      <c r="BG208" s="413"/>
      <c r="BH208" s="413"/>
      <c r="BI208" s="413"/>
      <c r="BJ208" s="413"/>
      <c r="BK208" s="413"/>
      <c r="BL208" s="413"/>
      <c r="BM208" s="413"/>
      <c r="BN208" s="413"/>
      <c r="BO208" s="413"/>
      <c r="BP208" s="413"/>
      <c r="BQ208" s="413"/>
      <c r="BR208" s="413"/>
      <c r="BS208" s="413"/>
      <c r="BT208" s="413"/>
      <c r="BU208" s="413"/>
      <c r="BV208" s="413"/>
      <c r="BW208" s="413"/>
      <c r="BX208" s="413"/>
      <c r="BY208" s="413"/>
      <c r="BZ208" s="413"/>
      <c r="CA208" s="413"/>
      <c r="CB208" s="413"/>
    </row>
    <row r="209" spans="2:80" x14ac:dyDescent="0.25">
      <c r="B209" s="302">
        <v>558</v>
      </c>
      <c r="C209" s="302" t="s">
        <v>1127</v>
      </c>
      <c r="E209" s="413"/>
      <c r="F209" s="413"/>
      <c r="G209" s="413"/>
      <c r="H209" s="413"/>
      <c r="I209" s="413"/>
      <c r="J209" s="413"/>
      <c r="K209" s="413"/>
      <c r="L209" s="413"/>
      <c r="M209" s="413"/>
      <c r="N209" s="413"/>
      <c r="O209" s="413"/>
      <c r="P209" s="413"/>
      <c r="Q209" s="413"/>
      <c r="R209" s="413"/>
      <c r="S209" s="413"/>
      <c r="T209" s="413"/>
      <c r="U209" s="413"/>
      <c r="V209" s="413"/>
      <c r="W209" s="413"/>
      <c r="X209" s="413"/>
      <c r="Y209" s="413"/>
      <c r="Z209" s="413"/>
      <c r="AA209" s="413"/>
      <c r="AB209" s="413"/>
      <c r="AC209" s="413"/>
      <c r="AD209" s="413"/>
      <c r="AE209" s="413"/>
      <c r="AF209" s="413"/>
      <c r="AG209" s="413"/>
      <c r="AH209" s="413"/>
      <c r="AI209" s="413"/>
      <c r="AJ209" s="413"/>
      <c r="AK209" s="413"/>
      <c r="AL209" s="413"/>
      <c r="AM209" s="413"/>
      <c r="AN209" s="413"/>
      <c r="AO209" s="413"/>
      <c r="AP209" s="413"/>
      <c r="AQ209" s="413"/>
      <c r="AR209" s="413"/>
      <c r="AS209" s="413"/>
      <c r="AT209" s="413"/>
      <c r="AU209" s="413"/>
      <c r="AV209" s="413"/>
      <c r="AW209" s="413"/>
      <c r="AX209" s="413"/>
      <c r="AY209" s="413"/>
      <c r="AZ209" s="413"/>
      <c r="BA209" s="413"/>
      <c r="BB209" s="413"/>
      <c r="BC209" s="413"/>
      <c r="BD209" s="413"/>
      <c r="BE209" s="413"/>
      <c r="BF209" s="413"/>
      <c r="BG209" s="413"/>
      <c r="BH209" s="413"/>
      <c r="BI209" s="413"/>
      <c r="BJ209" s="413"/>
      <c r="BK209" s="413"/>
      <c r="BL209" s="413"/>
      <c r="BM209" s="413"/>
      <c r="BN209" s="413"/>
      <c r="BO209" s="413"/>
      <c r="BP209" s="413"/>
      <c r="BQ209" s="413"/>
      <c r="BR209" s="413"/>
      <c r="BS209" s="413"/>
      <c r="BT209" s="413"/>
      <c r="BU209" s="413"/>
      <c r="BV209" s="413"/>
      <c r="BW209" s="413"/>
      <c r="BX209" s="413"/>
      <c r="BY209" s="413"/>
      <c r="BZ209" s="413"/>
      <c r="CA209" s="413"/>
      <c r="CB209" s="413"/>
    </row>
    <row r="210" spans="2:80" x14ac:dyDescent="0.25">
      <c r="B210" s="302">
        <v>559</v>
      </c>
      <c r="C210" s="302" t="s">
        <v>1128</v>
      </c>
      <c r="E210" s="413"/>
      <c r="F210" s="413"/>
      <c r="G210" s="413"/>
      <c r="H210" s="413"/>
      <c r="I210" s="413"/>
      <c r="J210" s="413"/>
      <c r="K210" s="413"/>
      <c r="L210" s="413"/>
      <c r="M210" s="413"/>
      <c r="N210" s="413"/>
      <c r="O210" s="413"/>
      <c r="P210" s="413"/>
      <c r="Q210" s="413"/>
      <c r="R210" s="413"/>
      <c r="S210" s="413"/>
      <c r="T210" s="413"/>
      <c r="U210" s="413"/>
      <c r="V210" s="413"/>
      <c r="W210" s="413"/>
      <c r="X210" s="413"/>
      <c r="Y210" s="413"/>
      <c r="Z210" s="413"/>
      <c r="AA210" s="413"/>
      <c r="AB210" s="413"/>
      <c r="AC210" s="413"/>
      <c r="AD210" s="413"/>
      <c r="AE210" s="413"/>
      <c r="AF210" s="413"/>
      <c r="AG210" s="413"/>
      <c r="AH210" s="413"/>
      <c r="AI210" s="413"/>
      <c r="AJ210" s="413"/>
      <c r="AK210" s="413"/>
      <c r="AL210" s="413"/>
      <c r="AM210" s="413"/>
      <c r="AN210" s="413"/>
      <c r="AO210" s="413"/>
      <c r="AP210" s="413"/>
      <c r="AQ210" s="413"/>
      <c r="AR210" s="413"/>
      <c r="AS210" s="413"/>
      <c r="AT210" s="413"/>
      <c r="AU210" s="413"/>
      <c r="AV210" s="413"/>
      <c r="AW210" s="413"/>
      <c r="AX210" s="413"/>
      <c r="AY210" s="413"/>
      <c r="AZ210" s="413"/>
      <c r="BA210" s="413"/>
      <c r="BB210" s="413"/>
      <c r="BC210" s="413"/>
      <c r="BD210" s="413"/>
      <c r="BE210" s="413"/>
      <c r="BF210" s="413"/>
      <c r="BG210" s="413"/>
      <c r="BH210" s="413"/>
      <c r="BI210" s="413"/>
      <c r="BJ210" s="413"/>
      <c r="BK210" s="413"/>
      <c r="BL210" s="413"/>
      <c r="BM210" s="413"/>
      <c r="BN210" s="413"/>
      <c r="BO210" s="413"/>
      <c r="BP210" s="413"/>
      <c r="BQ210" s="413"/>
      <c r="BR210" s="413"/>
      <c r="BS210" s="413"/>
      <c r="BT210" s="413"/>
      <c r="BU210" s="413"/>
      <c r="BV210" s="413"/>
      <c r="BW210" s="413"/>
      <c r="BX210" s="413"/>
      <c r="BY210" s="413"/>
      <c r="BZ210" s="413"/>
      <c r="CA210" s="413"/>
      <c r="CB210" s="413"/>
    </row>
    <row r="211" spans="2:80" x14ac:dyDescent="0.25">
      <c r="B211" s="302">
        <v>560</v>
      </c>
      <c r="C211" s="302" t="s">
        <v>1129</v>
      </c>
      <c r="E211" s="413"/>
      <c r="F211" s="413"/>
      <c r="G211" s="413"/>
      <c r="H211" s="413"/>
      <c r="I211" s="413"/>
      <c r="J211" s="413"/>
      <c r="K211" s="413"/>
      <c r="L211" s="413"/>
      <c r="M211" s="413"/>
      <c r="N211" s="413"/>
      <c r="O211" s="413"/>
      <c r="P211" s="413"/>
      <c r="Q211" s="413"/>
      <c r="R211" s="413"/>
      <c r="S211" s="413"/>
      <c r="T211" s="413"/>
      <c r="U211" s="413"/>
      <c r="V211" s="413"/>
      <c r="W211" s="413"/>
      <c r="X211" s="413"/>
      <c r="Y211" s="413"/>
      <c r="Z211" s="413"/>
      <c r="AA211" s="413"/>
      <c r="AB211" s="413"/>
      <c r="AC211" s="413"/>
      <c r="AD211" s="413"/>
      <c r="AE211" s="413"/>
      <c r="AF211" s="413"/>
      <c r="AG211" s="413"/>
      <c r="AH211" s="413"/>
      <c r="AI211" s="413"/>
      <c r="AJ211" s="413"/>
      <c r="AK211" s="413"/>
      <c r="AL211" s="413"/>
      <c r="AM211" s="413"/>
      <c r="AN211" s="413"/>
      <c r="AO211" s="413"/>
      <c r="AP211" s="413"/>
      <c r="AQ211" s="413"/>
      <c r="AR211" s="413"/>
      <c r="AS211" s="413"/>
      <c r="AT211" s="413"/>
      <c r="AU211" s="413"/>
      <c r="AV211" s="413"/>
      <c r="AW211" s="413"/>
      <c r="AX211" s="413"/>
      <c r="AY211" s="413"/>
      <c r="AZ211" s="413"/>
      <c r="BA211" s="413"/>
      <c r="BB211" s="413"/>
      <c r="BC211" s="413"/>
      <c r="BD211" s="413"/>
      <c r="BE211" s="413"/>
      <c r="BF211" s="413"/>
      <c r="BG211" s="413"/>
      <c r="BH211" s="413"/>
      <c r="BI211" s="413"/>
      <c r="BJ211" s="413"/>
      <c r="BK211" s="413"/>
      <c r="BL211" s="413"/>
      <c r="BM211" s="413"/>
      <c r="BN211" s="413"/>
      <c r="BO211" s="413"/>
      <c r="BP211" s="413"/>
      <c r="BQ211" s="413"/>
      <c r="BR211" s="413"/>
      <c r="BS211" s="413"/>
      <c r="BT211" s="413"/>
      <c r="BU211" s="413"/>
      <c r="BV211" s="413"/>
      <c r="BW211" s="413"/>
      <c r="BX211" s="413"/>
      <c r="BY211" s="413"/>
      <c r="BZ211" s="413"/>
      <c r="CA211" s="413"/>
      <c r="CB211" s="413"/>
    </row>
    <row r="212" spans="2:80" x14ac:dyDescent="0.25">
      <c r="B212" s="302">
        <v>561</v>
      </c>
      <c r="C212" s="302" t="s">
        <v>1130</v>
      </c>
      <c r="E212" s="413"/>
      <c r="F212" s="413"/>
      <c r="G212" s="413"/>
      <c r="H212" s="413"/>
      <c r="I212" s="413"/>
      <c r="J212" s="413"/>
      <c r="K212" s="413"/>
      <c r="L212" s="413"/>
      <c r="M212" s="413"/>
      <c r="N212" s="413"/>
      <c r="O212" s="413"/>
      <c r="P212" s="413"/>
      <c r="Q212" s="413"/>
      <c r="R212" s="413"/>
      <c r="S212" s="413"/>
      <c r="T212" s="413"/>
      <c r="U212" s="413"/>
      <c r="V212" s="413"/>
      <c r="W212" s="413"/>
      <c r="X212" s="413"/>
      <c r="Y212" s="413"/>
      <c r="Z212" s="413"/>
      <c r="AA212" s="413"/>
      <c r="AB212" s="413"/>
      <c r="AC212" s="413"/>
      <c r="AD212" s="413"/>
      <c r="AE212" s="413"/>
      <c r="AF212" s="413"/>
      <c r="AG212" s="413"/>
      <c r="AH212" s="413"/>
      <c r="AI212" s="413"/>
      <c r="AJ212" s="413"/>
      <c r="AK212" s="413"/>
      <c r="AL212" s="413"/>
      <c r="AM212" s="413"/>
      <c r="AN212" s="413"/>
      <c r="AO212" s="413"/>
      <c r="AP212" s="413"/>
      <c r="AQ212" s="413"/>
      <c r="AR212" s="413"/>
      <c r="AS212" s="413"/>
      <c r="AT212" s="413"/>
      <c r="AU212" s="413"/>
      <c r="AV212" s="413"/>
      <c r="AW212" s="413"/>
      <c r="AX212" s="413"/>
      <c r="AY212" s="413"/>
      <c r="AZ212" s="413"/>
      <c r="BA212" s="413"/>
      <c r="BB212" s="413"/>
      <c r="BC212" s="413"/>
      <c r="BD212" s="413"/>
      <c r="BE212" s="413"/>
      <c r="BF212" s="413"/>
      <c r="BG212" s="413"/>
      <c r="BH212" s="413"/>
      <c r="BI212" s="413"/>
      <c r="BJ212" s="413"/>
      <c r="BK212" s="413"/>
      <c r="BL212" s="413"/>
      <c r="BM212" s="413"/>
      <c r="BN212" s="413"/>
      <c r="BO212" s="413"/>
      <c r="BP212" s="413"/>
      <c r="BQ212" s="413"/>
      <c r="BR212" s="413"/>
      <c r="BS212" s="413"/>
      <c r="BT212" s="413"/>
      <c r="BU212" s="413"/>
      <c r="BV212" s="413"/>
      <c r="BW212" s="413"/>
      <c r="BX212" s="413"/>
      <c r="BY212" s="413"/>
      <c r="BZ212" s="413"/>
      <c r="CA212" s="413"/>
      <c r="CB212" s="413"/>
    </row>
    <row r="213" spans="2:80" x14ac:dyDescent="0.25">
      <c r="B213" s="302">
        <v>562</v>
      </c>
      <c r="C213" s="302" t="s">
        <v>1136</v>
      </c>
      <c r="E213" s="413"/>
      <c r="F213" s="413"/>
      <c r="G213" s="413"/>
      <c r="H213" s="413"/>
      <c r="I213" s="413"/>
      <c r="J213" s="413"/>
      <c r="K213" s="413"/>
      <c r="L213" s="413"/>
      <c r="M213" s="413"/>
      <c r="N213" s="413"/>
      <c r="O213" s="413"/>
      <c r="P213" s="413"/>
      <c r="Q213" s="413"/>
      <c r="R213" s="413"/>
      <c r="S213" s="413"/>
      <c r="T213" s="413"/>
      <c r="U213" s="413"/>
      <c r="V213" s="413"/>
      <c r="W213" s="413"/>
      <c r="X213" s="413"/>
      <c r="Y213" s="413"/>
      <c r="Z213" s="413"/>
      <c r="AA213" s="413"/>
      <c r="AB213" s="413"/>
      <c r="AC213" s="413"/>
      <c r="AD213" s="413"/>
      <c r="AE213" s="413"/>
      <c r="AF213" s="413"/>
      <c r="AG213" s="413"/>
      <c r="AH213" s="413"/>
      <c r="AI213" s="413"/>
      <c r="AJ213" s="413"/>
      <c r="AK213" s="413"/>
      <c r="AL213" s="413"/>
      <c r="AM213" s="413"/>
      <c r="AN213" s="413"/>
      <c r="AO213" s="413"/>
      <c r="AP213" s="413"/>
      <c r="AQ213" s="413"/>
      <c r="AR213" s="413"/>
      <c r="AS213" s="413"/>
      <c r="AT213" s="413"/>
      <c r="AU213" s="413"/>
      <c r="AV213" s="413"/>
      <c r="AW213" s="413"/>
      <c r="AX213" s="413"/>
      <c r="AY213" s="413"/>
      <c r="AZ213" s="413"/>
      <c r="BA213" s="413"/>
      <c r="BB213" s="413"/>
      <c r="BC213" s="413"/>
      <c r="BD213" s="413"/>
      <c r="BE213" s="413"/>
      <c r="BF213" s="413"/>
      <c r="BG213" s="413"/>
      <c r="BH213" s="413"/>
      <c r="BI213" s="413"/>
      <c r="BJ213" s="413"/>
      <c r="BK213" s="413"/>
      <c r="BL213" s="413"/>
      <c r="BM213" s="413"/>
      <c r="BN213" s="413"/>
      <c r="BO213" s="413"/>
      <c r="BP213" s="413"/>
      <c r="BQ213" s="413"/>
      <c r="BR213" s="413"/>
      <c r="BS213" s="413"/>
      <c r="BT213" s="413"/>
      <c r="BU213" s="413"/>
      <c r="BV213" s="413"/>
      <c r="BW213" s="413"/>
      <c r="BX213" s="413"/>
      <c r="BY213" s="413"/>
      <c r="BZ213" s="413"/>
      <c r="CA213" s="413"/>
      <c r="CB213" s="413"/>
    </row>
    <row r="214" spans="2:80" x14ac:dyDescent="0.25">
      <c r="B214" s="302">
        <v>563</v>
      </c>
      <c r="C214" s="302" t="s">
        <v>1131</v>
      </c>
      <c r="E214" s="413"/>
      <c r="F214" s="413"/>
      <c r="G214" s="413"/>
      <c r="H214" s="413"/>
      <c r="I214" s="413"/>
      <c r="J214" s="413"/>
      <c r="K214" s="413"/>
      <c r="L214" s="413"/>
      <c r="M214" s="413"/>
      <c r="N214" s="413"/>
      <c r="O214" s="413"/>
      <c r="P214" s="413"/>
      <c r="Q214" s="413"/>
      <c r="R214" s="413"/>
      <c r="S214" s="413"/>
      <c r="T214" s="413"/>
      <c r="U214" s="413"/>
      <c r="V214" s="413"/>
      <c r="W214" s="413"/>
      <c r="X214" s="413"/>
      <c r="Y214" s="413"/>
      <c r="Z214" s="413"/>
      <c r="AA214" s="413"/>
      <c r="AB214" s="413"/>
      <c r="AC214" s="413"/>
      <c r="AD214" s="413"/>
      <c r="AE214" s="413"/>
      <c r="AF214" s="413"/>
      <c r="AG214" s="413"/>
      <c r="AH214" s="413"/>
      <c r="AI214" s="413"/>
      <c r="AJ214" s="413"/>
      <c r="AK214" s="413"/>
      <c r="AL214" s="413"/>
      <c r="AM214" s="413"/>
      <c r="AN214" s="413"/>
      <c r="AO214" s="413"/>
      <c r="AP214" s="413"/>
      <c r="AQ214" s="413"/>
      <c r="AR214" s="413"/>
      <c r="AS214" s="413"/>
      <c r="AT214" s="413"/>
      <c r="AU214" s="413"/>
      <c r="AV214" s="413"/>
      <c r="AW214" s="413"/>
      <c r="AX214" s="413"/>
      <c r="AY214" s="413"/>
      <c r="AZ214" s="413"/>
      <c r="BA214" s="413"/>
      <c r="BB214" s="413"/>
      <c r="BC214" s="413"/>
      <c r="BD214" s="413"/>
      <c r="BE214" s="413"/>
      <c r="BF214" s="413"/>
      <c r="BG214" s="413"/>
      <c r="BH214" s="413"/>
      <c r="BI214" s="413"/>
      <c r="BJ214" s="413"/>
      <c r="BK214" s="413"/>
      <c r="BL214" s="413"/>
      <c r="BM214" s="413"/>
      <c r="BN214" s="413"/>
      <c r="BO214" s="413"/>
      <c r="BP214" s="413"/>
      <c r="BQ214" s="413"/>
      <c r="BR214" s="413"/>
      <c r="BS214" s="413"/>
      <c r="BT214" s="413"/>
      <c r="BU214" s="413"/>
      <c r="BV214" s="413"/>
      <c r="BW214" s="413"/>
      <c r="BX214" s="413"/>
      <c r="BY214" s="413"/>
      <c r="BZ214" s="413"/>
      <c r="CA214" s="413"/>
      <c r="CB214" s="413"/>
    </row>
    <row r="215" spans="2:80" x14ac:dyDescent="0.25">
      <c r="B215" s="302">
        <v>564</v>
      </c>
      <c r="C215" s="302" t="s">
        <v>1132</v>
      </c>
      <c r="E215" s="413"/>
      <c r="F215" s="413"/>
      <c r="G215" s="413"/>
      <c r="H215" s="413"/>
      <c r="I215" s="413"/>
      <c r="J215" s="413"/>
      <c r="K215" s="413"/>
      <c r="L215" s="413"/>
      <c r="M215" s="413"/>
      <c r="N215" s="413"/>
      <c r="O215" s="413"/>
      <c r="P215" s="413"/>
      <c r="Q215" s="413"/>
      <c r="R215" s="413"/>
      <c r="S215" s="413"/>
      <c r="T215" s="413"/>
      <c r="U215" s="413"/>
      <c r="V215" s="413"/>
      <c r="W215" s="413"/>
      <c r="X215" s="413"/>
      <c r="Y215" s="413"/>
      <c r="Z215" s="413"/>
      <c r="AA215" s="413"/>
      <c r="AB215" s="413"/>
      <c r="AC215" s="413"/>
      <c r="AD215" s="413"/>
      <c r="AE215" s="413"/>
      <c r="AF215" s="413"/>
      <c r="AG215" s="413"/>
      <c r="AH215" s="413"/>
      <c r="AI215" s="413"/>
      <c r="AJ215" s="413"/>
      <c r="AK215" s="413"/>
      <c r="AL215" s="413"/>
      <c r="AM215" s="413"/>
      <c r="AN215" s="413"/>
      <c r="AO215" s="413"/>
      <c r="AP215" s="413"/>
      <c r="AQ215" s="413"/>
      <c r="AR215" s="413"/>
      <c r="AS215" s="413"/>
      <c r="AT215" s="413"/>
      <c r="AU215" s="413"/>
      <c r="AV215" s="413"/>
      <c r="AW215" s="413"/>
      <c r="AX215" s="413"/>
      <c r="AY215" s="413"/>
      <c r="AZ215" s="413"/>
      <c r="BA215" s="413"/>
      <c r="BB215" s="413"/>
      <c r="BC215" s="413"/>
      <c r="BD215" s="413"/>
      <c r="BE215" s="413"/>
      <c r="BF215" s="413"/>
      <c r="BG215" s="413"/>
      <c r="BH215" s="413"/>
      <c r="BI215" s="413"/>
      <c r="BJ215" s="413"/>
      <c r="BK215" s="413"/>
      <c r="BL215" s="413"/>
      <c r="BM215" s="413"/>
      <c r="BN215" s="413"/>
      <c r="BO215" s="413"/>
      <c r="BP215" s="413"/>
      <c r="BQ215" s="413"/>
      <c r="BR215" s="413"/>
      <c r="BS215" s="413"/>
      <c r="BT215" s="413"/>
      <c r="BU215" s="413"/>
      <c r="BV215" s="413"/>
      <c r="BW215" s="413"/>
      <c r="BX215" s="413"/>
      <c r="BY215" s="413"/>
      <c r="BZ215" s="413"/>
      <c r="CA215" s="413"/>
      <c r="CB215" s="413"/>
    </row>
    <row r="216" spans="2:80" x14ac:dyDescent="0.25">
      <c r="B216" s="302">
        <v>565</v>
      </c>
      <c r="C216" s="302" t="s">
        <v>1267</v>
      </c>
      <c r="E216" s="413"/>
      <c r="F216" s="413"/>
      <c r="G216" s="413"/>
      <c r="H216" s="413"/>
      <c r="I216" s="413"/>
      <c r="J216" s="413"/>
      <c r="K216" s="413"/>
      <c r="L216" s="413"/>
      <c r="M216" s="413"/>
      <c r="N216" s="413"/>
      <c r="O216" s="413"/>
      <c r="P216" s="413"/>
      <c r="Q216" s="413"/>
      <c r="R216" s="413"/>
      <c r="S216" s="413"/>
      <c r="T216" s="413"/>
      <c r="U216" s="413"/>
      <c r="V216" s="413"/>
      <c r="W216" s="413"/>
      <c r="X216" s="413"/>
      <c r="Y216" s="413"/>
      <c r="Z216" s="413"/>
      <c r="AA216" s="413"/>
      <c r="AB216" s="413"/>
      <c r="AC216" s="413"/>
      <c r="AD216" s="413"/>
      <c r="AE216" s="413"/>
      <c r="AF216" s="413"/>
      <c r="AG216" s="413"/>
      <c r="AH216" s="413"/>
      <c r="AI216" s="413"/>
      <c r="AJ216" s="413"/>
      <c r="AK216" s="413"/>
      <c r="AL216" s="413"/>
      <c r="AM216" s="413"/>
      <c r="AN216" s="413"/>
      <c r="AO216" s="413"/>
      <c r="AP216" s="413"/>
      <c r="AQ216" s="413"/>
      <c r="AR216" s="413"/>
      <c r="AS216" s="413"/>
      <c r="AT216" s="413"/>
      <c r="AU216" s="413"/>
      <c r="AV216" s="413"/>
      <c r="AW216" s="413"/>
      <c r="AX216" s="413"/>
      <c r="AY216" s="413"/>
      <c r="AZ216" s="413"/>
      <c r="BA216" s="413"/>
      <c r="BB216" s="413"/>
      <c r="BC216" s="413"/>
      <c r="BD216" s="413"/>
      <c r="BE216" s="413"/>
      <c r="BF216" s="413"/>
      <c r="BG216" s="413"/>
      <c r="BH216" s="413"/>
      <c r="BI216" s="413"/>
      <c r="BJ216" s="413"/>
      <c r="BK216" s="413"/>
      <c r="BL216" s="413"/>
      <c r="BM216" s="413"/>
      <c r="BN216" s="413"/>
      <c r="BO216" s="413"/>
      <c r="BP216" s="413"/>
      <c r="BQ216" s="413"/>
      <c r="BR216" s="413"/>
      <c r="BS216" s="413"/>
      <c r="BT216" s="413"/>
      <c r="BU216" s="413"/>
      <c r="BV216" s="413"/>
      <c r="BW216" s="413"/>
      <c r="BX216" s="413"/>
      <c r="BY216" s="413"/>
      <c r="BZ216" s="413"/>
      <c r="CA216" s="413"/>
      <c r="CB216" s="413"/>
    </row>
    <row r="217" spans="2:80" x14ac:dyDescent="0.25">
      <c r="B217" s="302">
        <v>566</v>
      </c>
      <c r="C217" s="302" t="s">
        <v>1134</v>
      </c>
      <c r="E217" s="413"/>
      <c r="F217" s="413"/>
      <c r="G217" s="413"/>
      <c r="H217" s="413"/>
      <c r="I217" s="413"/>
      <c r="J217" s="413"/>
      <c r="K217" s="413"/>
      <c r="L217" s="413"/>
      <c r="M217" s="413"/>
      <c r="N217" s="413"/>
      <c r="O217" s="413"/>
      <c r="P217" s="413"/>
      <c r="Q217" s="413"/>
      <c r="R217" s="413"/>
      <c r="S217" s="413"/>
      <c r="T217" s="413"/>
      <c r="U217" s="413"/>
      <c r="V217" s="413"/>
      <c r="W217" s="413"/>
      <c r="X217" s="413"/>
      <c r="Y217" s="413"/>
      <c r="Z217" s="413"/>
      <c r="AA217" s="413"/>
      <c r="AB217" s="413"/>
      <c r="AC217" s="413"/>
      <c r="AD217" s="413"/>
      <c r="AE217" s="413"/>
      <c r="AF217" s="413"/>
      <c r="AG217" s="413"/>
      <c r="AH217" s="413"/>
      <c r="AI217" s="413"/>
      <c r="AJ217" s="413"/>
      <c r="AK217" s="413"/>
      <c r="AL217" s="413"/>
      <c r="AM217" s="413"/>
      <c r="AN217" s="413"/>
      <c r="AO217" s="413"/>
      <c r="AP217" s="413"/>
      <c r="AQ217" s="413"/>
      <c r="AR217" s="413"/>
      <c r="AS217" s="413"/>
      <c r="AT217" s="413"/>
      <c r="AU217" s="413"/>
      <c r="AV217" s="413"/>
      <c r="AW217" s="413"/>
      <c r="AX217" s="413"/>
      <c r="AY217" s="413"/>
      <c r="AZ217" s="413"/>
      <c r="BA217" s="413"/>
      <c r="BB217" s="413"/>
      <c r="BC217" s="413"/>
      <c r="BD217" s="413"/>
      <c r="BE217" s="413"/>
      <c r="BF217" s="413"/>
      <c r="BG217" s="413"/>
      <c r="BH217" s="413"/>
      <c r="BI217" s="413"/>
      <c r="BJ217" s="413"/>
      <c r="BK217" s="413"/>
      <c r="BL217" s="413"/>
      <c r="BM217" s="413"/>
      <c r="BN217" s="413"/>
      <c r="BO217" s="413"/>
      <c r="BP217" s="413"/>
      <c r="BQ217" s="413"/>
      <c r="BR217" s="413"/>
      <c r="BS217" s="413"/>
      <c r="BT217" s="413"/>
      <c r="BU217" s="413"/>
      <c r="BV217" s="413"/>
      <c r="BW217" s="413"/>
      <c r="BX217" s="413"/>
      <c r="BY217" s="413"/>
      <c r="BZ217" s="413"/>
      <c r="CA217" s="413"/>
      <c r="CB217" s="413"/>
    </row>
    <row r="218" spans="2:80" x14ac:dyDescent="0.25">
      <c r="B218" s="302">
        <v>567</v>
      </c>
      <c r="C218" s="302" t="s">
        <v>1135</v>
      </c>
      <c r="E218" s="413"/>
      <c r="F218" s="413"/>
      <c r="G218" s="413"/>
      <c r="H218" s="413"/>
      <c r="I218" s="413"/>
      <c r="J218" s="413"/>
      <c r="K218" s="413"/>
      <c r="L218" s="413"/>
      <c r="M218" s="413"/>
      <c r="N218" s="413"/>
      <c r="O218" s="413"/>
      <c r="P218" s="413"/>
      <c r="Q218" s="413"/>
      <c r="R218" s="413"/>
      <c r="S218" s="413"/>
      <c r="T218" s="413"/>
      <c r="U218" s="413"/>
      <c r="V218" s="413"/>
      <c r="W218" s="413"/>
      <c r="X218" s="413"/>
      <c r="Y218" s="413"/>
      <c r="Z218" s="413"/>
      <c r="AA218" s="413"/>
      <c r="AB218" s="413"/>
      <c r="AC218" s="413"/>
      <c r="AD218" s="413"/>
      <c r="AE218" s="413"/>
      <c r="AF218" s="413"/>
      <c r="AG218" s="413"/>
      <c r="AH218" s="413"/>
      <c r="AI218" s="413"/>
      <c r="AJ218" s="413"/>
      <c r="AK218" s="413"/>
      <c r="AL218" s="413"/>
      <c r="AM218" s="413"/>
      <c r="AN218" s="413"/>
      <c r="AO218" s="413"/>
      <c r="AP218" s="413"/>
      <c r="AQ218" s="413"/>
      <c r="AR218" s="413"/>
      <c r="AS218" s="413"/>
      <c r="AT218" s="413"/>
      <c r="AU218" s="413"/>
      <c r="AV218" s="413"/>
      <c r="AW218" s="413"/>
      <c r="AX218" s="413"/>
      <c r="AY218" s="413"/>
      <c r="AZ218" s="413"/>
      <c r="BA218" s="413"/>
      <c r="BB218" s="413"/>
      <c r="BC218" s="413"/>
      <c r="BD218" s="413"/>
      <c r="BE218" s="413"/>
      <c r="BF218" s="413"/>
      <c r="BG218" s="413"/>
      <c r="BH218" s="413"/>
      <c r="BI218" s="413"/>
      <c r="BJ218" s="413"/>
      <c r="BK218" s="413"/>
      <c r="BL218" s="413"/>
      <c r="BM218" s="413"/>
      <c r="BN218" s="413"/>
      <c r="BO218" s="413"/>
      <c r="BP218" s="413"/>
      <c r="BQ218" s="413"/>
      <c r="BR218" s="413"/>
      <c r="BS218" s="413"/>
      <c r="BT218" s="413"/>
      <c r="BU218" s="413"/>
      <c r="BV218" s="413"/>
      <c r="BW218" s="413"/>
      <c r="BX218" s="413"/>
      <c r="BY218" s="413"/>
      <c r="BZ218" s="413"/>
      <c r="CA218" s="413"/>
      <c r="CB218" s="413"/>
    </row>
    <row r="219" spans="2:80" x14ac:dyDescent="0.25">
      <c r="B219" s="302">
        <v>568</v>
      </c>
      <c r="C219" s="302" t="s">
        <v>1133</v>
      </c>
      <c r="E219" s="413"/>
      <c r="F219" s="413"/>
      <c r="G219" s="413"/>
      <c r="H219" s="413"/>
      <c r="I219" s="413"/>
      <c r="J219" s="413"/>
      <c r="K219" s="413"/>
      <c r="L219" s="413"/>
      <c r="M219" s="413"/>
      <c r="N219" s="413"/>
      <c r="O219" s="413"/>
      <c r="P219" s="413"/>
      <c r="Q219" s="413"/>
      <c r="R219" s="413"/>
      <c r="S219" s="413"/>
      <c r="T219" s="413"/>
      <c r="U219" s="413"/>
      <c r="V219" s="413"/>
      <c r="W219" s="413"/>
      <c r="X219" s="413"/>
      <c r="Y219" s="413"/>
      <c r="Z219" s="413"/>
      <c r="AA219" s="413"/>
      <c r="AB219" s="413"/>
      <c r="AC219" s="413"/>
      <c r="AD219" s="413"/>
      <c r="AE219" s="413"/>
      <c r="AF219" s="413"/>
      <c r="AG219" s="413"/>
      <c r="AH219" s="413"/>
      <c r="AI219" s="413"/>
      <c r="AJ219" s="413"/>
      <c r="AK219" s="413"/>
      <c r="AL219" s="413"/>
      <c r="AM219" s="413"/>
      <c r="AN219" s="413"/>
      <c r="AO219" s="413"/>
      <c r="AP219" s="413"/>
      <c r="AQ219" s="413"/>
      <c r="AR219" s="413"/>
      <c r="AS219" s="413"/>
      <c r="AT219" s="413"/>
      <c r="AU219" s="413"/>
      <c r="AV219" s="413"/>
      <c r="AW219" s="413"/>
      <c r="AX219" s="413"/>
      <c r="AY219" s="413"/>
      <c r="AZ219" s="413"/>
      <c r="BA219" s="413"/>
      <c r="BB219" s="413"/>
      <c r="BC219" s="413"/>
      <c r="BD219" s="413"/>
      <c r="BE219" s="413"/>
      <c r="BF219" s="413"/>
      <c r="BG219" s="413"/>
      <c r="BH219" s="413"/>
      <c r="BI219" s="413"/>
      <c r="BJ219" s="413"/>
      <c r="BK219" s="413"/>
      <c r="BL219" s="413"/>
      <c r="BM219" s="413"/>
      <c r="BN219" s="413"/>
      <c r="BO219" s="413"/>
      <c r="BP219" s="413"/>
      <c r="BQ219" s="413"/>
      <c r="BR219" s="413"/>
      <c r="BS219" s="413"/>
      <c r="BT219" s="413"/>
      <c r="BU219" s="413"/>
      <c r="BV219" s="413"/>
      <c r="BW219" s="413"/>
      <c r="BX219" s="413"/>
      <c r="BY219" s="413"/>
      <c r="BZ219" s="413"/>
      <c r="CA219" s="413"/>
      <c r="CB219" s="413"/>
    </row>
    <row r="220" spans="2:80" x14ac:dyDescent="0.25">
      <c r="B220" s="302">
        <v>569</v>
      </c>
      <c r="C220" s="302" t="s">
        <v>1137</v>
      </c>
      <c r="E220" s="413"/>
      <c r="F220" s="413"/>
      <c r="G220" s="413"/>
      <c r="H220" s="413"/>
      <c r="I220" s="413"/>
      <c r="J220" s="413"/>
      <c r="K220" s="413"/>
      <c r="L220" s="413"/>
      <c r="M220" s="413"/>
      <c r="N220" s="413"/>
      <c r="O220" s="413"/>
      <c r="P220" s="413"/>
      <c r="Q220" s="413"/>
      <c r="R220" s="413"/>
      <c r="S220" s="413"/>
      <c r="T220" s="413"/>
      <c r="U220" s="413"/>
      <c r="V220" s="413"/>
      <c r="W220" s="413"/>
      <c r="X220" s="413"/>
      <c r="Y220" s="413"/>
      <c r="Z220" s="413"/>
      <c r="AA220" s="413"/>
      <c r="AB220" s="413"/>
      <c r="AC220" s="413"/>
      <c r="AD220" s="413"/>
      <c r="AE220" s="413"/>
      <c r="AF220" s="413"/>
      <c r="AG220" s="413"/>
      <c r="AH220" s="413"/>
      <c r="AI220" s="413"/>
      <c r="AJ220" s="413"/>
      <c r="AK220" s="413"/>
      <c r="AL220" s="413"/>
      <c r="AM220" s="413"/>
      <c r="AN220" s="413"/>
      <c r="AO220" s="413"/>
      <c r="AP220" s="413"/>
      <c r="AQ220" s="413"/>
      <c r="AR220" s="413"/>
      <c r="AS220" s="413"/>
      <c r="AT220" s="413"/>
      <c r="AU220" s="413"/>
      <c r="AV220" s="413"/>
      <c r="AW220" s="413"/>
      <c r="AX220" s="413"/>
      <c r="AY220" s="413"/>
      <c r="AZ220" s="413"/>
      <c r="BA220" s="413"/>
      <c r="BB220" s="413"/>
      <c r="BC220" s="413"/>
      <c r="BD220" s="413"/>
      <c r="BE220" s="413"/>
      <c r="BF220" s="413"/>
      <c r="BG220" s="413"/>
      <c r="BH220" s="413"/>
      <c r="BI220" s="413"/>
      <c r="BJ220" s="413"/>
      <c r="BK220" s="413"/>
      <c r="BL220" s="413"/>
      <c r="BM220" s="413"/>
      <c r="BN220" s="413"/>
      <c r="BO220" s="413"/>
      <c r="BP220" s="413"/>
      <c r="BQ220" s="413"/>
      <c r="BR220" s="413"/>
      <c r="BS220" s="413"/>
      <c r="BT220" s="413"/>
      <c r="BU220" s="413"/>
      <c r="BV220" s="413"/>
      <c r="BW220" s="413"/>
      <c r="BX220" s="413"/>
      <c r="BY220" s="413"/>
      <c r="BZ220" s="413"/>
      <c r="CA220" s="413"/>
      <c r="CB220" s="413"/>
    </row>
    <row r="221" spans="2:80" x14ac:dyDescent="0.25">
      <c r="B221" s="302">
        <v>570</v>
      </c>
      <c r="C221" s="302" t="s">
        <v>1521</v>
      </c>
      <c r="E221" s="413"/>
      <c r="F221" s="413"/>
      <c r="G221" s="413"/>
      <c r="H221" s="413"/>
      <c r="I221" s="413"/>
      <c r="J221" s="413"/>
      <c r="K221" s="413"/>
      <c r="L221" s="413"/>
      <c r="M221" s="413"/>
      <c r="N221" s="413"/>
      <c r="O221" s="413"/>
      <c r="P221" s="413"/>
      <c r="Q221" s="413"/>
      <c r="R221" s="413"/>
      <c r="S221" s="413"/>
      <c r="T221" s="413"/>
      <c r="U221" s="413"/>
      <c r="V221" s="413"/>
      <c r="W221" s="413"/>
      <c r="X221" s="413"/>
      <c r="Y221" s="413"/>
      <c r="Z221" s="413"/>
      <c r="AA221" s="413"/>
      <c r="AB221" s="413"/>
      <c r="AC221" s="413"/>
      <c r="AD221" s="413"/>
      <c r="AE221" s="413"/>
      <c r="AF221" s="413"/>
      <c r="AG221" s="413"/>
      <c r="AH221" s="413"/>
      <c r="AI221" s="413"/>
      <c r="AJ221" s="413"/>
      <c r="AK221" s="413"/>
      <c r="AL221" s="413"/>
      <c r="AM221" s="413"/>
      <c r="AN221" s="413"/>
      <c r="AO221" s="413"/>
      <c r="AP221" s="413"/>
      <c r="AQ221" s="413"/>
      <c r="AR221" s="413"/>
      <c r="AS221" s="413"/>
      <c r="AT221" s="413"/>
      <c r="AU221" s="413"/>
      <c r="AV221" s="413"/>
      <c r="AW221" s="413"/>
      <c r="AX221" s="413"/>
      <c r="AY221" s="413"/>
      <c r="AZ221" s="413"/>
      <c r="BA221" s="413"/>
      <c r="BB221" s="413"/>
      <c r="BC221" s="413"/>
      <c r="BD221" s="413"/>
      <c r="BE221" s="413"/>
      <c r="BF221" s="413"/>
      <c r="BG221" s="413"/>
      <c r="BH221" s="413"/>
      <c r="BI221" s="413"/>
      <c r="BJ221" s="413"/>
      <c r="BK221" s="413"/>
      <c r="BL221" s="413"/>
      <c r="BM221" s="413"/>
      <c r="BN221" s="413"/>
      <c r="BO221" s="413"/>
      <c r="BP221" s="413"/>
      <c r="BQ221" s="413"/>
      <c r="BR221" s="413"/>
      <c r="BS221" s="413"/>
      <c r="BT221" s="413"/>
      <c r="BU221" s="413"/>
      <c r="BV221" s="413"/>
      <c r="BW221" s="413"/>
      <c r="BX221" s="413"/>
      <c r="BY221" s="413"/>
      <c r="BZ221" s="413"/>
      <c r="CA221" s="413"/>
      <c r="CB221" s="413"/>
    </row>
    <row r="222" spans="2:80" x14ac:dyDescent="0.25">
      <c r="B222" s="302">
        <v>571</v>
      </c>
      <c r="C222" s="302" t="s">
        <v>1109</v>
      </c>
      <c r="E222" s="413"/>
      <c r="F222" s="413"/>
      <c r="G222" s="413"/>
      <c r="H222" s="413"/>
      <c r="I222" s="413"/>
      <c r="J222" s="413"/>
      <c r="K222" s="413"/>
      <c r="L222" s="413"/>
      <c r="M222" s="413"/>
      <c r="N222" s="413"/>
      <c r="O222" s="413"/>
      <c r="P222" s="413"/>
      <c r="Q222" s="413"/>
      <c r="R222" s="413"/>
      <c r="S222" s="413"/>
      <c r="T222" s="413"/>
      <c r="U222" s="413"/>
      <c r="V222" s="413"/>
      <c r="W222" s="413"/>
      <c r="X222" s="413"/>
      <c r="Y222" s="413"/>
      <c r="Z222" s="413"/>
      <c r="AA222" s="413"/>
      <c r="AB222" s="413"/>
      <c r="AC222" s="413"/>
      <c r="AD222" s="413"/>
      <c r="AE222" s="413"/>
      <c r="AF222" s="413"/>
      <c r="AG222" s="413"/>
      <c r="AH222" s="413"/>
      <c r="AI222" s="413"/>
      <c r="AJ222" s="413"/>
      <c r="AK222" s="413"/>
      <c r="AL222" s="413"/>
      <c r="AM222" s="413"/>
      <c r="AN222" s="413"/>
      <c r="AO222" s="413"/>
      <c r="AP222" s="413"/>
      <c r="AQ222" s="413"/>
      <c r="AR222" s="413"/>
      <c r="AS222" s="413"/>
      <c r="AT222" s="413"/>
      <c r="AU222" s="413"/>
      <c r="AV222" s="413"/>
      <c r="AW222" s="413"/>
      <c r="AX222" s="413"/>
      <c r="AY222" s="413"/>
      <c r="AZ222" s="413"/>
      <c r="BA222" s="413"/>
      <c r="BB222" s="413"/>
      <c r="BC222" s="413"/>
      <c r="BD222" s="413"/>
      <c r="BE222" s="413"/>
      <c r="BF222" s="413"/>
      <c r="BG222" s="413"/>
      <c r="BH222" s="413"/>
      <c r="BI222" s="413"/>
      <c r="BJ222" s="413"/>
      <c r="BK222" s="413"/>
      <c r="BL222" s="413"/>
      <c r="BM222" s="413"/>
      <c r="BN222" s="413"/>
      <c r="BO222" s="413"/>
      <c r="BP222" s="413"/>
      <c r="BQ222" s="413"/>
      <c r="BR222" s="413"/>
      <c r="BS222" s="413"/>
      <c r="BT222" s="413"/>
      <c r="BU222" s="413"/>
      <c r="BV222" s="413"/>
      <c r="BW222" s="413"/>
      <c r="BX222" s="413"/>
      <c r="BY222" s="413"/>
      <c r="BZ222" s="413"/>
      <c r="CA222" s="413"/>
      <c r="CB222" s="413"/>
    </row>
    <row r="223" spans="2:80" x14ac:dyDescent="0.25">
      <c r="B223" s="302">
        <v>572</v>
      </c>
      <c r="C223" s="302" t="s">
        <v>1110</v>
      </c>
      <c r="E223" s="413"/>
      <c r="F223" s="413"/>
      <c r="G223" s="413"/>
      <c r="H223" s="413"/>
      <c r="I223" s="413"/>
      <c r="J223" s="413"/>
      <c r="K223" s="413"/>
      <c r="L223" s="413"/>
      <c r="M223" s="413"/>
      <c r="N223" s="413"/>
      <c r="O223" s="413"/>
      <c r="P223" s="413"/>
      <c r="Q223" s="413"/>
      <c r="R223" s="413"/>
      <c r="S223" s="413"/>
      <c r="T223" s="413"/>
      <c r="U223" s="413"/>
      <c r="V223" s="413"/>
      <c r="W223" s="413"/>
      <c r="X223" s="413"/>
      <c r="Y223" s="413"/>
      <c r="Z223" s="413"/>
      <c r="AA223" s="413"/>
      <c r="AB223" s="413"/>
      <c r="AC223" s="413"/>
      <c r="AD223" s="413"/>
      <c r="AE223" s="413"/>
      <c r="AF223" s="413"/>
      <c r="AG223" s="413"/>
      <c r="AH223" s="413"/>
      <c r="AI223" s="413"/>
      <c r="AJ223" s="413"/>
      <c r="AK223" s="413"/>
      <c r="AL223" s="413"/>
      <c r="AM223" s="413"/>
      <c r="AN223" s="413"/>
      <c r="AO223" s="413"/>
      <c r="AP223" s="413"/>
      <c r="AQ223" s="413"/>
      <c r="AR223" s="413"/>
      <c r="AS223" s="413"/>
      <c r="AT223" s="413"/>
      <c r="AU223" s="413"/>
      <c r="AV223" s="413"/>
      <c r="AW223" s="413"/>
      <c r="AX223" s="413"/>
      <c r="AY223" s="413"/>
      <c r="AZ223" s="413"/>
      <c r="BA223" s="413"/>
      <c r="BB223" s="413"/>
      <c r="BC223" s="413"/>
      <c r="BD223" s="413"/>
      <c r="BE223" s="413"/>
      <c r="BF223" s="413"/>
      <c r="BG223" s="413"/>
      <c r="BH223" s="413"/>
      <c r="BI223" s="413"/>
      <c r="BJ223" s="413"/>
      <c r="BK223" s="413"/>
      <c r="BL223" s="413"/>
      <c r="BM223" s="413"/>
      <c r="BN223" s="413"/>
      <c r="BO223" s="413"/>
      <c r="BP223" s="413"/>
      <c r="BQ223" s="413"/>
      <c r="BR223" s="413"/>
      <c r="BS223" s="413"/>
      <c r="BT223" s="413"/>
      <c r="BU223" s="413"/>
      <c r="BV223" s="413"/>
      <c r="BW223" s="413"/>
      <c r="BX223" s="413"/>
      <c r="BY223" s="413"/>
      <c r="BZ223" s="413"/>
      <c r="CA223" s="413"/>
      <c r="CB223" s="413"/>
    </row>
    <row r="224" spans="2:80" x14ac:dyDescent="0.25">
      <c r="B224" s="302">
        <v>573</v>
      </c>
      <c r="C224" s="302" t="s">
        <v>1268</v>
      </c>
      <c r="E224" s="413"/>
      <c r="F224" s="413"/>
      <c r="G224" s="413"/>
      <c r="H224" s="413"/>
      <c r="I224" s="413"/>
      <c r="J224" s="413"/>
      <c r="K224" s="413"/>
      <c r="L224" s="413"/>
      <c r="M224" s="413"/>
      <c r="N224" s="413"/>
      <c r="O224" s="413"/>
      <c r="P224" s="413"/>
      <c r="Q224" s="413"/>
      <c r="R224" s="413"/>
      <c r="S224" s="413"/>
      <c r="T224" s="413"/>
      <c r="U224" s="413"/>
      <c r="V224" s="413"/>
      <c r="W224" s="413"/>
      <c r="X224" s="413"/>
      <c r="Y224" s="413"/>
      <c r="Z224" s="413"/>
      <c r="AA224" s="413"/>
      <c r="AB224" s="413"/>
      <c r="AC224" s="413"/>
      <c r="AD224" s="413"/>
      <c r="AE224" s="413"/>
      <c r="AF224" s="413"/>
      <c r="AG224" s="413"/>
      <c r="AH224" s="413"/>
      <c r="AI224" s="413"/>
      <c r="AJ224" s="413"/>
      <c r="AK224" s="413"/>
      <c r="AL224" s="413"/>
      <c r="AM224" s="413"/>
      <c r="AN224" s="413"/>
      <c r="AO224" s="413"/>
      <c r="AP224" s="413"/>
      <c r="AQ224" s="413"/>
      <c r="AR224" s="413"/>
      <c r="AS224" s="413"/>
      <c r="AT224" s="413"/>
      <c r="AU224" s="413"/>
      <c r="AV224" s="413"/>
      <c r="AW224" s="413"/>
      <c r="AX224" s="413"/>
      <c r="AY224" s="413"/>
      <c r="AZ224" s="413"/>
      <c r="BA224" s="413"/>
      <c r="BB224" s="413"/>
      <c r="BC224" s="413"/>
      <c r="BD224" s="413"/>
      <c r="BE224" s="413"/>
      <c r="BF224" s="413"/>
      <c r="BG224" s="413"/>
      <c r="BH224" s="413"/>
      <c r="BI224" s="413"/>
      <c r="BJ224" s="413"/>
      <c r="BK224" s="413"/>
      <c r="BL224" s="413"/>
      <c r="BM224" s="413"/>
      <c r="BN224" s="413"/>
      <c r="BO224" s="413"/>
      <c r="BP224" s="413"/>
      <c r="BQ224" s="413"/>
      <c r="BR224" s="413"/>
      <c r="BS224" s="413"/>
      <c r="BT224" s="413"/>
      <c r="BU224" s="413"/>
      <c r="BV224" s="413"/>
      <c r="BW224" s="413"/>
      <c r="BX224" s="413"/>
      <c r="BY224" s="413"/>
      <c r="BZ224" s="413"/>
      <c r="CA224" s="413"/>
      <c r="CB224" s="413"/>
    </row>
    <row r="225" spans="1:80" x14ac:dyDescent="0.25">
      <c r="B225" s="302">
        <v>574</v>
      </c>
      <c r="C225" s="302" t="s">
        <v>1522</v>
      </c>
      <c r="E225" s="413"/>
      <c r="F225" s="413"/>
      <c r="G225" s="413"/>
      <c r="H225" s="413"/>
      <c r="I225" s="413"/>
      <c r="J225" s="413"/>
      <c r="K225" s="413"/>
      <c r="L225" s="413"/>
      <c r="M225" s="413"/>
      <c r="N225" s="413"/>
      <c r="O225" s="413"/>
      <c r="P225" s="413"/>
      <c r="Q225" s="413"/>
      <c r="R225" s="413"/>
      <c r="S225" s="413"/>
      <c r="T225" s="413"/>
      <c r="U225" s="413"/>
      <c r="V225" s="413"/>
      <c r="W225" s="413"/>
      <c r="X225" s="413"/>
      <c r="Y225" s="413"/>
      <c r="Z225" s="413"/>
      <c r="AA225" s="413"/>
      <c r="AB225" s="413"/>
      <c r="AC225" s="413"/>
      <c r="AD225" s="413"/>
      <c r="AE225" s="413"/>
      <c r="AF225" s="413"/>
      <c r="AG225" s="413"/>
      <c r="AH225" s="413"/>
      <c r="AI225" s="413"/>
      <c r="AJ225" s="413"/>
      <c r="AK225" s="413"/>
      <c r="AL225" s="413"/>
      <c r="AM225" s="413"/>
      <c r="AN225" s="413"/>
      <c r="AO225" s="413"/>
      <c r="AP225" s="413"/>
      <c r="AQ225" s="413"/>
      <c r="AR225" s="413"/>
      <c r="AS225" s="413"/>
      <c r="AT225" s="413"/>
      <c r="AU225" s="413"/>
      <c r="AV225" s="413"/>
      <c r="AW225" s="413"/>
      <c r="AX225" s="413"/>
      <c r="AY225" s="413"/>
      <c r="AZ225" s="413"/>
      <c r="BA225" s="413"/>
      <c r="BB225" s="413"/>
      <c r="BC225" s="413"/>
      <c r="BD225" s="413"/>
      <c r="BE225" s="413"/>
      <c r="BF225" s="413"/>
      <c r="BG225" s="413"/>
      <c r="BH225" s="413"/>
      <c r="BI225" s="413"/>
      <c r="BJ225" s="413"/>
      <c r="BK225" s="413"/>
      <c r="BL225" s="413"/>
      <c r="BM225" s="413"/>
      <c r="BN225" s="413"/>
      <c r="BO225" s="413"/>
      <c r="BP225" s="413"/>
      <c r="BQ225" s="413"/>
      <c r="BR225" s="413"/>
      <c r="BS225" s="413"/>
      <c r="BT225" s="413"/>
      <c r="BU225" s="413"/>
      <c r="BV225" s="413"/>
      <c r="BW225" s="413"/>
      <c r="BX225" s="413"/>
      <c r="BY225" s="413"/>
      <c r="BZ225" s="413"/>
      <c r="CA225" s="413"/>
      <c r="CB225" s="413"/>
    </row>
    <row r="226" spans="1:80" x14ac:dyDescent="0.25">
      <c r="A226" s="302">
        <v>575</v>
      </c>
      <c r="B226" s="302">
        <v>575</v>
      </c>
      <c r="C226" s="302" t="s">
        <v>341</v>
      </c>
      <c r="D226" s="302">
        <v>0</v>
      </c>
      <c r="E226" s="413">
        <v>0</v>
      </c>
      <c r="F226" s="413">
        <v>0</v>
      </c>
      <c r="G226" s="413">
        <v>0</v>
      </c>
      <c r="H226" s="413">
        <v>0</v>
      </c>
      <c r="I226" s="413">
        <v>0</v>
      </c>
      <c r="J226" s="413">
        <v>0</v>
      </c>
      <c r="K226" s="413">
        <v>0</v>
      </c>
      <c r="L226" s="413">
        <v>0</v>
      </c>
      <c r="M226" s="413">
        <v>0</v>
      </c>
      <c r="N226" s="413">
        <v>0</v>
      </c>
      <c r="O226" s="413">
        <v>0</v>
      </c>
      <c r="P226" s="413">
        <v>0</v>
      </c>
      <c r="Q226" s="413">
        <v>0</v>
      </c>
      <c r="R226" s="413">
        <v>0</v>
      </c>
      <c r="S226" s="413">
        <v>0</v>
      </c>
      <c r="T226" s="413">
        <v>0</v>
      </c>
      <c r="U226" s="413">
        <v>0</v>
      </c>
      <c r="V226" s="413">
        <v>0</v>
      </c>
      <c r="W226" s="413">
        <v>0</v>
      </c>
      <c r="X226" s="413">
        <v>0</v>
      </c>
      <c r="Y226" s="413">
        <v>0</v>
      </c>
      <c r="Z226" s="413">
        <v>0</v>
      </c>
      <c r="AA226" s="413">
        <v>0</v>
      </c>
      <c r="AB226" s="413">
        <v>0</v>
      </c>
      <c r="AC226" s="413">
        <v>0</v>
      </c>
      <c r="AD226" s="413">
        <v>0</v>
      </c>
      <c r="AE226" s="413">
        <v>0</v>
      </c>
      <c r="AF226" s="413">
        <v>0</v>
      </c>
      <c r="AG226" s="413">
        <v>0</v>
      </c>
      <c r="AH226" s="413">
        <v>0</v>
      </c>
      <c r="AI226" s="413">
        <v>0</v>
      </c>
      <c r="AJ226" s="413">
        <v>0</v>
      </c>
      <c r="AK226" s="413">
        <v>22256033</v>
      </c>
      <c r="AL226" s="413">
        <v>0</v>
      </c>
      <c r="AM226" s="413">
        <v>0</v>
      </c>
      <c r="AN226" s="413">
        <v>0</v>
      </c>
      <c r="AO226" s="413">
        <v>0</v>
      </c>
      <c r="AP226" s="413">
        <v>0</v>
      </c>
      <c r="AQ226" s="413">
        <v>0</v>
      </c>
      <c r="AR226" s="413">
        <v>0</v>
      </c>
      <c r="AS226" s="413">
        <v>0</v>
      </c>
      <c r="AT226" s="413">
        <v>0</v>
      </c>
      <c r="AU226" s="413"/>
      <c r="AV226" s="413"/>
      <c r="AW226" s="413"/>
      <c r="AX226" s="413"/>
      <c r="AY226" s="413"/>
      <c r="AZ226" s="413"/>
      <c r="BA226" s="413"/>
      <c r="BB226" s="413"/>
      <c r="BC226" s="413"/>
      <c r="BD226" s="413"/>
      <c r="BE226" s="413"/>
      <c r="BF226" s="413"/>
      <c r="BG226" s="413"/>
      <c r="BH226" s="413"/>
      <c r="BI226" s="413"/>
      <c r="BJ226" s="413"/>
      <c r="BK226" s="413"/>
      <c r="BL226" s="413"/>
      <c r="BM226" s="413"/>
      <c r="BN226" s="413"/>
      <c r="BO226" s="413"/>
      <c r="BP226" s="413"/>
      <c r="BQ226" s="413"/>
      <c r="BR226" s="413"/>
      <c r="BS226" s="413"/>
      <c r="BT226" s="413"/>
      <c r="BU226" s="413"/>
      <c r="BV226" s="413"/>
      <c r="BW226" s="413"/>
      <c r="BX226" s="413"/>
      <c r="BY226" s="413"/>
      <c r="BZ226" s="413"/>
      <c r="CA226" s="413"/>
      <c r="CB226" s="413"/>
    </row>
    <row r="227" spans="1:80" x14ac:dyDescent="0.25">
      <c r="A227" s="302">
        <v>576</v>
      </c>
      <c r="B227" s="302">
        <v>576</v>
      </c>
      <c r="C227" s="302" t="s">
        <v>342</v>
      </c>
      <c r="D227" s="302">
        <v>0</v>
      </c>
      <c r="E227" s="413">
        <v>0</v>
      </c>
      <c r="F227" s="413">
        <v>0</v>
      </c>
      <c r="G227" s="413">
        <v>0</v>
      </c>
      <c r="H227" s="413">
        <v>0</v>
      </c>
      <c r="I227" s="413">
        <v>0</v>
      </c>
      <c r="J227" s="413">
        <v>0</v>
      </c>
      <c r="K227" s="413">
        <v>0</v>
      </c>
      <c r="L227" s="413">
        <v>0</v>
      </c>
      <c r="M227" s="413">
        <v>0</v>
      </c>
      <c r="N227" s="413">
        <v>0</v>
      </c>
      <c r="O227" s="413">
        <v>0</v>
      </c>
      <c r="P227" s="413">
        <v>0</v>
      </c>
      <c r="Q227" s="413">
        <v>0</v>
      </c>
      <c r="R227" s="413">
        <v>0</v>
      </c>
      <c r="S227" s="413">
        <v>0</v>
      </c>
      <c r="T227" s="413">
        <v>0</v>
      </c>
      <c r="U227" s="413">
        <v>0</v>
      </c>
      <c r="V227" s="413">
        <v>0</v>
      </c>
      <c r="W227" s="413">
        <v>0</v>
      </c>
      <c r="X227" s="413">
        <v>0</v>
      </c>
      <c r="Y227" s="413">
        <v>0</v>
      </c>
      <c r="Z227" s="413">
        <v>0</v>
      </c>
      <c r="AA227" s="413">
        <v>0</v>
      </c>
      <c r="AB227" s="413">
        <v>0</v>
      </c>
      <c r="AC227" s="413">
        <v>0</v>
      </c>
      <c r="AD227" s="413">
        <v>0</v>
      </c>
      <c r="AE227" s="413">
        <v>0</v>
      </c>
      <c r="AF227" s="413">
        <v>0</v>
      </c>
      <c r="AG227" s="413">
        <v>0</v>
      </c>
      <c r="AH227" s="413">
        <v>0</v>
      </c>
      <c r="AI227" s="413">
        <v>0</v>
      </c>
      <c r="AJ227" s="413">
        <v>0</v>
      </c>
      <c r="AK227" s="413">
        <v>0</v>
      </c>
      <c r="AL227" s="413">
        <v>0</v>
      </c>
      <c r="AM227" s="413">
        <v>0</v>
      </c>
      <c r="AN227" s="413">
        <v>0</v>
      </c>
      <c r="AO227" s="413">
        <v>0</v>
      </c>
      <c r="AP227" s="413">
        <v>0</v>
      </c>
      <c r="AQ227" s="413">
        <v>0</v>
      </c>
      <c r="AR227" s="413">
        <v>0</v>
      </c>
      <c r="AS227" s="413">
        <v>0</v>
      </c>
      <c r="AT227" s="413">
        <v>0</v>
      </c>
      <c r="AU227" s="413"/>
      <c r="AV227" s="413"/>
      <c r="AW227" s="413"/>
      <c r="AX227" s="413"/>
      <c r="AY227" s="413"/>
      <c r="AZ227" s="413"/>
      <c r="BA227" s="413"/>
      <c r="BB227" s="413"/>
      <c r="BC227" s="413"/>
      <c r="BD227" s="413"/>
      <c r="BE227" s="413"/>
      <c r="BF227" s="413"/>
      <c r="BG227" s="413"/>
      <c r="BH227" s="413"/>
      <c r="BI227" s="413"/>
      <c r="BJ227" s="413"/>
      <c r="BK227" s="413"/>
      <c r="BL227" s="413"/>
      <c r="BM227" s="413"/>
      <c r="BN227" s="413"/>
      <c r="BO227" s="413"/>
      <c r="BP227" s="413"/>
      <c r="BQ227" s="413"/>
      <c r="BR227" s="413"/>
      <c r="BS227" s="413"/>
      <c r="BT227" s="413"/>
      <c r="BU227" s="413"/>
      <c r="BV227" s="413"/>
      <c r="BW227" s="413"/>
      <c r="BX227" s="413"/>
      <c r="BY227" s="413"/>
      <c r="BZ227" s="413"/>
      <c r="CA227" s="413"/>
      <c r="CB227" s="413"/>
    </row>
    <row r="228" spans="1:80" x14ac:dyDescent="0.25">
      <c r="A228" s="302">
        <v>577</v>
      </c>
      <c r="B228" s="302">
        <v>577</v>
      </c>
      <c r="C228" s="302" t="s">
        <v>397</v>
      </c>
      <c r="D228" s="302">
        <v>0</v>
      </c>
      <c r="E228" s="413">
        <v>2</v>
      </c>
      <c r="F228" s="413">
        <v>2</v>
      </c>
      <c r="G228" s="413">
        <v>2</v>
      </c>
      <c r="H228" s="413">
        <v>2</v>
      </c>
      <c r="I228" s="413">
        <v>2</v>
      </c>
      <c r="J228" s="413">
        <v>2</v>
      </c>
      <c r="K228" s="413">
        <v>2</v>
      </c>
      <c r="L228" s="413">
        <v>2</v>
      </c>
      <c r="M228" s="413">
        <v>2</v>
      </c>
      <c r="N228" s="413">
        <v>0</v>
      </c>
      <c r="O228" s="413">
        <v>0</v>
      </c>
      <c r="P228" s="413">
        <v>2</v>
      </c>
      <c r="Q228" s="413">
        <v>0</v>
      </c>
      <c r="R228" s="413">
        <v>2</v>
      </c>
      <c r="S228" s="413">
        <v>2</v>
      </c>
      <c r="T228" s="413">
        <v>2</v>
      </c>
      <c r="U228" s="413">
        <v>2</v>
      </c>
      <c r="V228" s="413">
        <v>2</v>
      </c>
      <c r="W228" s="413">
        <v>2</v>
      </c>
      <c r="X228" s="413">
        <v>2</v>
      </c>
      <c r="Y228" s="413">
        <v>2</v>
      </c>
      <c r="Z228" s="413">
        <v>2</v>
      </c>
      <c r="AA228" s="413">
        <v>2</v>
      </c>
      <c r="AB228" s="413">
        <v>2</v>
      </c>
      <c r="AC228" s="413">
        <v>0</v>
      </c>
      <c r="AD228" s="413">
        <v>2</v>
      </c>
      <c r="AE228" s="413">
        <v>2</v>
      </c>
      <c r="AF228" s="413">
        <v>2</v>
      </c>
      <c r="AG228" s="413">
        <v>0</v>
      </c>
      <c r="AH228" s="413">
        <v>2</v>
      </c>
      <c r="AI228" s="413">
        <v>2</v>
      </c>
      <c r="AJ228" s="413">
        <v>2</v>
      </c>
      <c r="AK228" s="413">
        <v>2</v>
      </c>
      <c r="AL228" s="413">
        <v>0</v>
      </c>
      <c r="AM228" s="413">
        <v>0</v>
      </c>
      <c r="AN228" s="413">
        <v>2</v>
      </c>
      <c r="AO228" s="413">
        <v>0</v>
      </c>
      <c r="AP228" s="413">
        <v>0</v>
      </c>
      <c r="AQ228" s="413">
        <v>2</v>
      </c>
      <c r="AR228" s="413">
        <v>2</v>
      </c>
      <c r="AS228" s="413">
        <v>0</v>
      </c>
      <c r="AT228" s="413">
        <v>2</v>
      </c>
      <c r="AU228" s="413"/>
      <c r="AV228" s="413"/>
      <c r="AW228" s="413"/>
      <c r="AX228" s="413"/>
      <c r="AY228" s="413"/>
      <c r="AZ228" s="413"/>
      <c r="BA228" s="413"/>
      <c r="BB228" s="413"/>
      <c r="BC228" s="413"/>
      <c r="BD228" s="413"/>
      <c r="BE228" s="413"/>
      <c r="BF228" s="413"/>
      <c r="BG228" s="413"/>
      <c r="BH228" s="413"/>
      <c r="BI228" s="413"/>
      <c r="BJ228" s="413"/>
      <c r="BK228" s="413"/>
      <c r="BL228" s="413"/>
      <c r="BM228" s="413"/>
      <c r="BN228" s="413"/>
      <c r="BO228" s="413"/>
      <c r="BP228" s="413"/>
      <c r="BQ228" s="413"/>
      <c r="BR228" s="413"/>
      <c r="BS228" s="413"/>
      <c r="BT228" s="413"/>
      <c r="BU228" s="413"/>
      <c r="BV228" s="413"/>
      <c r="BW228" s="413"/>
      <c r="BX228" s="413"/>
      <c r="BY228" s="413"/>
      <c r="BZ228" s="413"/>
      <c r="CA228" s="413"/>
      <c r="CB228" s="413"/>
    </row>
    <row r="229" spans="1:80" x14ac:dyDescent="0.25">
      <c r="B229" s="302">
        <v>578</v>
      </c>
      <c r="C229" s="302" t="s">
        <v>398</v>
      </c>
      <c r="D229" s="302">
        <v>0</v>
      </c>
      <c r="E229" s="413">
        <v>0</v>
      </c>
      <c r="F229" s="413">
        <v>0</v>
      </c>
      <c r="G229" s="413">
        <v>0</v>
      </c>
      <c r="H229" s="413">
        <v>0</v>
      </c>
      <c r="I229" s="413">
        <v>0</v>
      </c>
      <c r="J229" s="413">
        <v>0</v>
      </c>
      <c r="K229" s="413">
        <v>0</v>
      </c>
      <c r="L229" s="413">
        <v>0</v>
      </c>
      <c r="M229" s="413">
        <v>0</v>
      </c>
      <c r="N229" s="413">
        <v>0</v>
      </c>
      <c r="O229" s="413">
        <v>0</v>
      </c>
      <c r="P229" s="413">
        <v>0</v>
      </c>
      <c r="Q229" s="413">
        <v>0</v>
      </c>
      <c r="R229" s="413">
        <v>0</v>
      </c>
      <c r="S229" s="413">
        <v>0</v>
      </c>
      <c r="T229" s="413">
        <v>0</v>
      </c>
      <c r="U229" s="413">
        <v>0</v>
      </c>
      <c r="V229" s="413">
        <v>0</v>
      </c>
      <c r="W229" s="413">
        <v>0</v>
      </c>
      <c r="X229" s="413">
        <v>0</v>
      </c>
      <c r="Y229" s="413">
        <v>0</v>
      </c>
      <c r="Z229" s="413">
        <v>0</v>
      </c>
      <c r="AA229" s="413">
        <v>0</v>
      </c>
      <c r="AB229" s="413">
        <v>0</v>
      </c>
      <c r="AC229" s="413">
        <v>0</v>
      </c>
      <c r="AD229" s="413">
        <v>0</v>
      </c>
      <c r="AE229" s="413">
        <v>0</v>
      </c>
      <c r="AF229" s="413">
        <v>0</v>
      </c>
      <c r="AG229" s="413">
        <v>0</v>
      </c>
      <c r="AH229" s="413">
        <v>0</v>
      </c>
      <c r="AI229" s="413">
        <v>0</v>
      </c>
      <c r="AJ229" s="413">
        <v>0</v>
      </c>
      <c r="AK229" s="413">
        <v>0</v>
      </c>
      <c r="AL229" s="413">
        <v>0</v>
      </c>
      <c r="AM229" s="413">
        <v>0</v>
      </c>
      <c r="AN229" s="413">
        <v>0</v>
      </c>
      <c r="AO229" s="413">
        <v>0</v>
      </c>
      <c r="AP229" s="413">
        <v>0</v>
      </c>
      <c r="AQ229" s="413">
        <v>0</v>
      </c>
      <c r="AR229" s="413">
        <v>0</v>
      </c>
      <c r="AS229" s="413">
        <v>0</v>
      </c>
      <c r="AT229" s="413">
        <v>0</v>
      </c>
      <c r="AU229" s="413"/>
      <c r="AV229" s="413"/>
      <c r="AW229" s="413"/>
      <c r="AX229" s="413"/>
      <c r="AY229" s="413"/>
      <c r="AZ229" s="413"/>
      <c r="BA229" s="413"/>
      <c r="BB229" s="413"/>
      <c r="BC229" s="413"/>
      <c r="BD229" s="413"/>
      <c r="BE229" s="413"/>
      <c r="BF229" s="413"/>
      <c r="BG229" s="413"/>
      <c r="BH229" s="413"/>
      <c r="BI229" s="413"/>
      <c r="BJ229" s="413"/>
      <c r="BK229" s="413"/>
      <c r="BL229" s="413"/>
      <c r="BM229" s="413"/>
      <c r="BN229" s="413"/>
      <c r="BO229" s="413"/>
      <c r="BP229" s="413"/>
      <c r="BQ229" s="413"/>
      <c r="BR229" s="413"/>
      <c r="BS229" s="413"/>
      <c r="BT229" s="413"/>
      <c r="BU229" s="413"/>
      <c r="BV229" s="413"/>
      <c r="BW229" s="413"/>
      <c r="BX229" s="413"/>
      <c r="BY229" s="413"/>
      <c r="BZ229" s="413"/>
      <c r="CA229" s="413"/>
      <c r="CB229" s="413"/>
    </row>
    <row r="230" spans="1:80" x14ac:dyDescent="0.25">
      <c r="B230" s="302">
        <v>579</v>
      </c>
      <c r="C230" s="302" t="s">
        <v>399</v>
      </c>
      <c r="D230" s="302">
        <v>0</v>
      </c>
      <c r="E230" s="413">
        <v>0</v>
      </c>
      <c r="F230" s="413">
        <v>0</v>
      </c>
      <c r="G230" s="413">
        <v>0</v>
      </c>
      <c r="H230" s="413">
        <v>0</v>
      </c>
      <c r="I230" s="413">
        <v>0</v>
      </c>
      <c r="J230" s="413">
        <v>0</v>
      </c>
      <c r="K230" s="413">
        <v>0</v>
      </c>
      <c r="L230" s="413">
        <v>0</v>
      </c>
      <c r="M230" s="413">
        <v>0</v>
      </c>
      <c r="N230" s="413">
        <v>0</v>
      </c>
      <c r="O230" s="413">
        <v>0</v>
      </c>
      <c r="P230" s="413">
        <v>0</v>
      </c>
      <c r="Q230" s="413">
        <v>0</v>
      </c>
      <c r="R230" s="413">
        <v>0</v>
      </c>
      <c r="S230" s="413">
        <v>0</v>
      </c>
      <c r="T230" s="413">
        <v>0</v>
      </c>
      <c r="U230" s="413">
        <v>0</v>
      </c>
      <c r="V230" s="413">
        <v>0</v>
      </c>
      <c r="W230" s="413">
        <v>0</v>
      </c>
      <c r="X230" s="413">
        <v>0</v>
      </c>
      <c r="Y230" s="413">
        <v>0</v>
      </c>
      <c r="Z230" s="413">
        <v>0</v>
      </c>
      <c r="AA230" s="413">
        <v>0</v>
      </c>
      <c r="AB230" s="413">
        <v>0</v>
      </c>
      <c r="AC230" s="413">
        <v>0</v>
      </c>
      <c r="AD230" s="413">
        <v>0</v>
      </c>
      <c r="AE230" s="413">
        <v>0</v>
      </c>
      <c r="AF230" s="413">
        <v>0</v>
      </c>
      <c r="AG230" s="413">
        <v>0</v>
      </c>
      <c r="AH230" s="413">
        <v>0</v>
      </c>
      <c r="AI230" s="413">
        <v>0</v>
      </c>
      <c r="AJ230" s="413">
        <v>0</v>
      </c>
      <c r="AK230" s="413">
        <v>0</v>
      </c>
      <c r="AL230" s="413">
        <v>0</v>
      </c>
      <c r="AM230" s="413">
        <v>0</v>
      </c>
      <c r="AN230" s="413">
        <v>0</v>
      </c>
      <c r="AO230" s="413">
        <v>0</v>
      </c>
      <c r="AP230" s="413">
        <v>0</v>
      </c>
      <c r="AQ230" s="413">
        <v>0</v>
      </c>
      <c r="AR230" s="413">
        <v>0</v>
      </c>
      <c r="AS230" s="413">
        <v>0</v>
      </c>
      <c r="AT230" s="413">
        <v>0</v>
      </c>
      <c r="AU230" s="413"/>
      <c r="AV230" s="413"/>
      <c r="AW230" s="413"/>
      <c r="AX230" s="413"/>
      <c r="AY230" s="413"/>
      <c r="AZ230" s="413"/>
      <c r="BA230" s="413"/>
      <c r="BB230" s="413"/>
      <c r="BC230" s="413"/>
      <c r="BD230" s="413"/>
      <c r="BE230" s="413"/>
      <c r="BF230" s="413"/>
      <c r="BG230" s="413"/>
      <c r="BH230" s="413"/>
      <c r="BI230" s="413"/>
      <c r="BJ230" s="413"/>
      <c r="BK230" s="413"/>
      <c r="BL230" s="413"/>
      <c r="BM230" s="413"/>
      <c r="BN230" s="413"/>
      <c r="BO230" s="413"/>
      <c r="BP230" s="413"/>
      <c r="BQ230" s="413"/>
      <c r="BR230" s="413"/>
      <c r="BS230" s="413"/>
      <c r="BT230" s="413"/>
      <c r="BU230" s="413"/>
      <c r="BV230" s="413"/>
      <c r="BW230" s="413"/>
      <c r="BX230" s="413"/>
      <c r="BY230" s="413"/>
      <c r="BZ230" s="413"/>
      <c r="CA230" s="413"/>
      <c r="CB230" s="413"/>
    </row>
    <row r="231" spans="1:80" x14ac:dyDescent="0.25">
      <c r="B231" s="302">
        <v>580</v>
      </c>
      <c r="C231" s="302" t="s">
        <v>400</v>
      </c>
      <c r="D231" s="302">
        <v>0</v>
      </c>
      <c r="E231" s="413">
        <v>0</v>
      </c>
      <c r="F231" s="413">
        <v>0</v>
      </c>
      <c r="G231" s="413">
        <v>0</v>
      </c>
      <c r="H231" s="413">
        <v>0</v>
      </c>
      <c r="I231" s="413">
        <v>0</v>
      </c>
      <c r="J231" s="413">
        <v>0</v>
      </c>
      <c r="K231" s="413">
        <v>0</v>
      </c>
      <c r="L231" s="413">
        <v>0</v>
      </c>
      <c r="M231" s="413">
        <v>0</v>
      </c>
      <c r="N231" s="413">
        <v>0</v>
      </c>
      <c r="O231" s="413">
        <v>0</v>
      </c>
      <c r="P231" s="413">
        <v>0</v>
      </c>
      <c r="Q231" s="413">
        <v>0</v>
      </c>
      <c r="R231" s="413">
        <v>0</v>
      </c>
      <c r="S231" s="413">
        <v>0</v>
      </c>
      <c r="T231" s="413">
        <v>0</v>
      </c>
      <c r="U231" s="413">
        <v>0</v>
      </c>
      <c r="V231" s="413">
        <v>0</v>
      </c>
      <c r="W231" s="413">
        <v>0</v>
      </c>
      <c r="X231" s="413">
        <v>0</v>
      </c>
      <c r="Y231" s="413">
        <v>0</v>
      </c>
      <c r="Z231" s="413">
        <v>0</v>
      </c>
      <c r="AA231" s="413">
        <v>0</v>
      </c>
      <c r="AB231" s="413">
        <v>0</v>
      </c>
      <c r="AC231" s="413">
        <v>0</v>
      </c>
      <c r="AD231" s="413">
        <v>0</v>
      </c>
      <c r="AE231" s="413">
        <v>0</v>
      </c>
      <c r="AF231" s="413">
        <v>0</v>
      </c>
      <c r="AG231" s="413">
        <v>0</v>
      </c>
      <c r="AH231" s="413">
        <v>0</v>
      </c>
      <c r="AI231" s="413">
        <v>0</v>
      </c>
      <c r="AJ231" s="413">
        <v>0</v>
      </c>
      <c r="AK231" s="413">
        <v>0</v>
      </c>
      <c r="AL231" s="413">
        <v>0</v>
      </c>
      <c r="AM231" s="413">
        <v>0</v>
      </c>
      <c r="AN231" s="413">
        <v>0</v>
      </c>
      <c r="AO231" s="413">
        <v>0</v>
      </c>
      <c r="AP231" s="413">
        <v>0</v>
      </c>
      <c r="AQ231" s="413">
        <v>0</v>
      </c>
      <c r="AR231" s="413">
        <v>0</v>
      </c>
      <c r="AS231" s="413">
        <v>0</v>
      </c>
      <c r="AT231" s="413">
        <v>0</v>
      </c>
      <c r="AU231" s="413"/>
      <c r="AV231" s="413"/>
      <c r="AW231" s="413"/>
      <c r="AX231" s="413"/>
      <c r="AY231" s="413"/>
      <c r="AZ231" s="413"/>
      <c r="BA231" s="413"/>
      <c r="BB231" s="413"/>
      <c r="BC231" s="413"/>
      <c r="BD231" s="413"/>
      <c r="BE231" s="413"/>
      <c r="BF231" s="413"/>
      <c r="BG231" s="413"/>
      <c r="BH231" s="413"/>
      <c r="BI231" s="413"/>
      <c r="BJ231" s="413"/>
      <c r="BK231" s="413"/>
      <c r="BL231" s="413"/>
      <c r="BM231" s="413"/>
      <c r="BN231" s="413"/>
      <c r="BO231" s="413"/>
      <c r="BP231" s="413"/>
      <c r="BQ231" s="413"/>
      <c r="BR231" s="413"/>
      <c r="BS231" s="413"/>
      <c r="BT231" s="413"/>
      <c r="BU231" s="413"/>
      <c r="BV231" s="413"/>
      <c r="BW231" s="413"/>
      <c r="BX231" s="413"/>
      <c r="BY231" s="413"/>
      <c r="BZ231" s="413"/>
      <c r="CA231" s="413"/>
      <c r="CB231" s="413"/>
    </row>
    <row r="232" spans="1:80" x14ac:dyDescent="0.25">
      <c r="B232" s="302">
        <v>581</v>
      </c>
      <c r="C232" s="302" t="s">
        <v>401</v>
      </c>
      <c r="D232" s="302">
        <v>0</v>
      </c>
      <c r="E232" s="413">
        <v>0</v>
      </c>
      <c r="F232" s="413">
        <v>0</v>
      </c>
      <c r="G232" s="413">
        <v>0</v>
      </c>
      <c r="H232" s="413">
        <v>0</v>
      </c>
      <c r="I232" s="413">
        <v>0</v>
      </c>
      <c r="J232" s="413">
        <v>0</v>
      </c>
      <c r="K232" s="413">
        <v>0</v>
      </c>
      <c r="L232" s="413">
        <v>0</v>
      </c>
      <c r="M232" s="413">
        <v>0</v>
      </c>
      <c r="N232" s="413">
        <v>0</v>
      </c>
      <c r="O232" s="413">
        <v>0</v>
      </c>
      <c r="P232" s="413">
        <v>0</v>
      </c>
      <c r="Q232" s="413">
        <v>0</v>
      </c>
      <c r="R232" s="413">
        <v>0</v>
      </c>
      <c r="S232" s="413">
        <v>0</v>
      </c>
      <c r="T232" s="413">
        <v>0</v>
      </c>
      <c r="U232" s="413">
        <v>0</v>
      </c>
      <c r="V232" s="413">
        <v>0</v>
      </c>
      <c r="W232" s="413">
        <v>0</v>
      </c>
      <c r="X232" s="413">
        <v>0</v>
      </c>
      <c r="Y232" s="413">
        <v>0</v>
      </c>
      <c r="Z232" s="413">
        <v>0</v>
      </c>
      <c r="AA232" s="413">
        <v>0</v>
      </c>
      <c r="AB232" s="413">
        <v>0</v>
      </c>
      <c r="AC232" s="413">
        <v>0</v>
      </c>
      <c r="AD232" s="413">
        <v>0</v>
      </c>
      <c r="AE232" s="413">
        <v>0</v>
      </c>
      <c r="AF232" s="413">
        <v>0</v>
      </c>
      <c r="AG232" s="413">
        <v>0</v>
      </c>
      <c r="AH232" s="413">
        <v>0</v>
      </c>
      <c r="AI232" s="413">
        <v>0</v>
      </c>
      <c r="AJ232" s="413">
        <v>0</v>
      </c>
      <c r="AK232" s="413">
        <v>0</v>
      </c>
      <c r="AL232" s="413">
        <v>0</v>
      </c>
      <c r="AM232" s="413">
        <v>0</v>
      </c>
      <c r="AN232" s="413">
        <v>0</v>
      </c>
      <c r="AO232" s="413">
        <v>0</v>
      </c>
      <c r="AP232" s="413">
        <v>0</v>
      </c>
      <c r="AQ232" s="413">
        <v>0</v>
      </c>
      <c r="AR232" s="413">
        <v>0</v>
      </c>
      <c r="AS232" s="413">
        <v>0</v>
      </c>
      <c r="AT232" s="413">
        <v>0</v>
      </c>
      <c r="AU232" s="413"/>
      <c r="AV232" s="413"/>
      <c r="AW232" s="413"/>
      <c r="AX232" s="413"/>
      <c r="AY232" s="413"/>
      <c r="AZ232" s="413"/>
      <c r="BA232" s="413"/>
      <c r="BB232" s="413"/>
      <c r="BC232" s="413"/>
      <c r="BD232" s="413"/>
      <c r="BE232" s="413"/>
      <c r="BF232" s="413"/>
      <c r="BG232" s="413"/>
      <c r="BH232" s="413"/>
      <c r="BI232" s="413"/>
      <c r="BJ232" s="413"/>
      <c r="BK232" s="413"/>
      <c r="BL232" s="413"/>
      <c r="BM232" s="413"/>
      <c r="BN232" s="413"/>
      <c r="BO232" s="413"/>
      <c r="BP232" s="413"/>
      <c r="BQ232" s="413"/>
      <c r="BR232" s="413"/>
      <c r="BS232" s="413"/>
      <c r="BT232" s="413"/>
      <c r="BU232" s="413"/>
      <c r="BV232" s="413"/>
      <c r="BW232" s="413"/>
      <c r="BX232" s="413"/>
      <c r="BY232" s="413"/>
      <c r="BZ232" s="413"/>
      <c r="CA232" s="413"/>
      <c r="CB232" s="413"/>
    </row>
    <row r="233" spans="1:80" x14ac:dyDescent="0.25">
      <c r="B233" s="302">
        <v>582</v>
      </c>
      <c r="C233" s="302" t="s">
        <v>402</v>
      </c>
      <c r="D233" s="302">
        <v>0</v>
      </c>
      <c r="E233" s="413">
        <v>0</v>
      </c>
      <c r="F233" s="413">
        <v>0</v>
      </c>
      <c r="G233" s="413">
        <v>0</v>
      </c>
      <c r="H233" s="413">
        <v>0</v>
      </c>
      <c r="I233" s="413">
        <v>0</v>
      </c>
      <c r="J233" s="413">
        <v>0</v>
      </c>
      <c r="K233" s="413">
        <v>0</v>
      </c>
      <c r="L233" s="413">
        <v>0</v>
      </c>
      <c r="M233" s="413">
        <v>0</v>
      </c>
      <c r="N233" s="413">
        <v>0</v>
      </c>
      <c r="O233" s="413">
        <v>0</v>
      </c>
      <c r="P233" s="413">
        <v>0</v>
      </c>
      <c r="Q233" s="413">
        <v>0</v>
      </c>
      <c r="R233" s="413">
        <v>0</v>
      </c>
      <c r="S233" s="413">
        <v>0</v>
      </c>
      <c r="T233" s="413">
        <v>0</v>
      </c>
      <c r="U233" s="413">
        <v>0</v>
      </c>
      <c r="V233" s="413">
        <v>0</v>
      </c>
      <c r="W233" s="413">
        <v>0</v>
      </c>
      <c r="X233" s="413">
        <v>0</v>
      </c>
      <c r="Y233" s="413">
        <v>0</v>
      </c>
      <c r="Z233" s="413">
        <v>0</v>
      </c>
      <c r="AA233" s="413">
        <v>0</v>
      </c>
      <c r="AB233" s="413">
        <v>0</v>
      </c>
      <c r="AC233" s="413">
        <v>0</v>
      </c>
      <c r="AD233" s="413">
        <v>0</v>
      </c>
      <c r="AE233" s="413">
        <v>0</v>
      </c>
      <c r="AF233" s="413">
        <v>0</v>
      </c>
      <c r="AG233" s="413">
        <v>0</v>
      </c>
      <c r="AH233" s="413">
        <v>0</v>
      </c>
      <c r="AI233" s="413">
        <v>0</v>
      </c>
      <c r="AJ233" s="413">
        <v>0</v>
      </c>
      <c r="AK233" s="413">
        <v>0</v>
      </c>
      <c r="AL233" s="413">
        <v>0</v>
      </c>
      <c r="AM233" s="413">
        <v>0</v>
      </c>
      <c r="AN233" s="413">
        <v>0</v>
      </c>
      <c r="AO233" s="413">
        <v>0</v>
      </c>
      <c r="AP233" s="413">
        <v>0</v>
      </c>
      <c r="AQ233" s="413">
        <v>0</v>
      </c>
      <c r="AR233" s="413">
        <v>0</v>
      </c>
      <c r="AS233" s="413">
        <v>0</v>
      </c>
      <c r="AT233" s="413">
        <v>0</v>
      </c>
      <c r="AU233" s="413"/>
      <c r="AV233" s="413"/>
      <c r="AW233" s="413"/>
      <c r="AX233" s="413"/>
      <c r="AY233" s="413"/>
      <c r="AZ233" s="413"/>
      <c r="BA233" s="413"/>
      <c r="BB233" s="413"/>
      <c r="BC233" s="413"/>
      <c r="BD233" s="413"/>
      <c r="BE233" s="413"/>
      <c r="BF233" s="413"/>
      <c r="BG233" s="413"/>
      <c r="BH233" s="413"/>
      <c r="BI233" s="413"/>
      <c r="BJ233" s="413"/>
      <c r="BK233" s="413"/>
      <c r="BL233" s="413"/>
      <c r="BM233" s="413"/>
      <c r="BN233" s="413"/>
      <c r="BO233" s="413"/>
      <c r="BP233" s="413"/>
      <c r="BQ233" s="413"/>
      <c r="BR233" s="413"/>
      <c r="BS233" s="413"/>
      <c r="BT233" s="413"/>
      <c r="BU233" s="413"/>
      <c r="BV233" s="413"/>
      <c r="BW233" s="413"/>
      <c r="BX233" s="413"/>
      <c r="BY233" s="413"/>
      <c r="BZ233" s="413"/>
      <c r="CA233" s="413"/>
      <c r="CB233" s="413"/>
    </row>
    <row r="234" spans="1:80" x14ac:dyDescent="0.25">
      <c r="B234" s="302">
        <v>583</v>
      </c>
      <c r="C234" s="302" t="s">
        <v>403</v>
      </c>
      <c r="D234" s="302">
        <v>0</v>
      </c>
      <c r="E234" s="413">
        <v>0</v>
      </c>
      <c r="F234" s="413">
        <v>0</v>
      </c>
      <c r="G234" s="413">
        <v>0</v>
      </c>
      <c r="H234" s="413">
        <v>0</v>
      </c>
      <c r="I234" s="413">
        <v>0</v>
      </c>
      <c r="J234" s="413">
        <v>0</v>
      </c>
      <c r="K234" s="413">
        <v>0</v>
      </c>
      <c r="L234" s="413">
        <v>0</v>
      </c>
      <c r="M234" s="413">
        <v>0</v>
      </c>
      <c r="N234" s="413">
        <v>0</v>
      </c>
      <c r="O234" s="413">
        <v>0</v>
      </c>
      <c r="P234" s="413">
        <v>0</v>
      </c>
      <c r="Q234" s="413">
        <v>0</v>
      </c>
      <c r="R234" s="413">
        <v>0</v>
      </c>
      <c r="S234" s="413">
        <v>0</v>
      </c>
      <c r="T234" s="413">
        <v>0</v>
      </c>
      <c r="U234" s="413">
        <v>0</v>
      </c>
      <c r="V234" s="413">
        <v>0</v>
      </c>
      <c r="W234" s="413">
        <v>0</v>
      </c>
      <c r="X234" s="413">
        <v>0</v>
      </c>
      <c r="Y234" s="413">
        <v>0</v>
      </c>
      <c r="Z234" s="413">
        <v>0</v>
      </c>
      <c r="AA234" s="413">
        <v>0</v>
      </c>
      <c r="AB234" s="413">
        <v>0</v>
      </c>
      <c r="AC234" s="413">
        <v>0</v>
      </c>
      <c r="AD234" s="413">
        <v>0</v>
      </c>
      <c r="AE234" s="413">
        <v>0</v>
      </c>
      <c r="AF234" s="413">
        <v>0</v>
      </c>
      <c r="AG234" s="413">
        <v>0</v>
      </c>
      <c r="AH234" s="413">
        <v>0</v>
      </c>
      <c r="AI234" s="413">
        <v>0</v>
      </c>
      <c r="AJ234" s="413">
        <v>0</v>
      </c>
      <c r="AK234" s="413">
        <v>0</v>
      </c>
      <c r="AL234" s="413">
        <v>0</v>
      </c>
      <c r="AM234" s="413">
        <v>0</v>
      </c>
      <c r="AN234" s="413">
        <v>0</v>
      </c>
      <c r="AO234" s="413">
        <v>0</v>
      </c>
      <c r="AP234" s="413">
        <v>0</v>
      </c>
      <c r="AQ234" s="413">
        <v>0</v>
      </c>
      <c r="AR234" s="413">
        <v>0</v>
      </c>
      <c r="AS234" s="413">
        <v>0</v>
      </c>
      <c r="AT234" s="413">
        <v>0</v>
      </c>
      <c r="AU234" s="413"/>
      <c r="AV234" s="413"/>
      <c r="AW234" s="413"/>
      <c r="AX234" s="413"/>
      <c r="AY234" s="413"/>
      <c r="AZ234" s="413"/>
      <c r="BA234" s="413"/>
      <c r="BB234" s="413"/>
      <c r="BC234" s="413"/>
      <c r="BD234" s="413"/>
      <c r="BE234" s="413"/>
      <c r="BF234" s="413"/>
      <c r="BG234" s="413"/>
      <c r="BH234" s="413"/>
      <c r="BI234" s="413"/>
      <c r="BJ234" s="413"/>
      <c r="BK234" s="413"/>
      <c r="BL234" s="413"/>
      <c r="BM234" s="413"/>
      <c r="BN234" s="413"/>
      <c r="BO234" s="413"/>
      <c r="BP234" s="413"/>
      <c r="BQ234" s="413"/>
      <c r="BR234" s="413"/>
      <c r="BS234" s="413"/>
      <c r="BT234" s="413"/>
      <c r="BU234" s="413"/>
      <c r="BV234" s="413"/>
      <c r="BW234" s="413"/>
      <c r="BX234" s="413"/>
      <c r="BY234" s="413"/>
      <c r="BZ234" s="413"/>
      <c r="CA234" s="413"/>
      <c r="CB234" s="413"/>
    </row>
    <row r="235" spans="1:80" x14ac:dyDescent="0.25">
      <c r="B235" s="302">
        <v>584</v>
      </c>
      <c r="C235" s="302" t="s">
        <v>404</v>
      </c>
      <c r="D235" s="302">
        <v>0</v>
      </c>
      <c r="E235" s="413">
        <v>0</v>
      </c>
      <c r="F235" s="413">
        <v>0</v>
      </c>
      <c r="G235" s="413">
        <v>0</v>
      </c>
      <c r="H235" s="413">
        <v>0</v>
      </c>
      <c r="I235" s="413">
        <v>0</v>
      </c>
      <c r="J235" s="413">
        <v>0</v>
      </c>
      <c r="K235" s="413">
        <v>0</v>
      </c>
      <c r="L235" s="413">
        <v>0</v>
      </c>
      <c r="M235" s="413">
        <v>0</v>
      </c>
      <c r="N235" s="413">
        <v>0</v>
      </c>
      <c r="O235" s="413">
        <v>0</v>
      </c>
      <c r="P235" s="413">
        <v>0</v>
      </c>
      <c r="Q235" s="413">
        <v>0</v>
      </c>
      <c r="R235" s="413">
        <v>0</v>
      </c>
      <c r="S235" s="413">
        <v>0</v>
      </c>
      <c r="T235" s="413">
        <v>0</v>
      </c>
      <c r="U235" s="413">
        <v>0</v>
      </c>
      <c r="V235" s="413">
        <v>0</v>
      </c>
      <c r="W235" s="413">
        <v>0</v>
      </c>
      <c r="X235" s="413">
        <v>0</v>
      </c>
      <c r="Y235" s="413">
        <v>0</v>
      </c>
      <c r="Z235" s="413">
        <v>0</v>
      </c>
      <c r="AA235" s="413">
        <v>0</v>
      </c>
      <c r="AB235" s="413">
        <v>0</v>
      </c>
      <c r="AC235" s="413">
        <v>0</v>
      </c>
      <c r="AD235" s="413">
        <v>0</v>
      </c>
      <c r="AE235" s="413">
        <v>0</v>
      </c>
      <c r="AF235" s="413">
        <v>0</v>
      </c>
      <c r="AG235" s="413">
        <v>0</v>
      </c>
      <c r="AH235" s="413">
        <v>0</v>
      </c>
      <c r="AI235" s="413">
        <v>0</v>
      </c>
      <c r="AJ235" s="413">
        <v>0</v>
      </c>
      <c r="AK235" s="413">
        <v>0</v>
      </c>
      <c r="AL235" s="413">
        <v>0</v>
      </c>
      <c r="AM235" s="413">
        <v>0</v>
      </c>
      <c r="AN235" s="413">
        <v>0</v>
      </c>
      <c r="AO235" s="413">
        <v>0</v>
      </c>
      <c r="AP235" s="413">
        <v>0</v>
      </c>
      <c r="AQ235" s="413">
        <v>0</v>
      </c>
      <c r="AR235" s="413">
        <v>0</v>
      </c>
      <c r="AS235" s="413">
        <v>0</v>
      </c>
      <c r="AT235" s="413">
        <v>0</v>
      </c>
      <c r="AU235" s="413"/>
      <c r="AV235" s="413"/>
      <c r="AW235" s="413"/>
      <c r="AX235" s="413"/>
      <c r="AY235" s="413"/>
      <c r="AZ235" s="413"/>
      <c r="BA235" s="413"/>
      <c r="BB235" s="413"/>
      <c r="BC235" s="413"/>
      <c r="BD235" s="413"/>
      <c r="BE235" s="413"/>
      <c r="BF235" s="413"/>
      <c r="BG235" s="413"/>
      <c r="BH235" s="413"/>
      <c r="BI235" s="413"/>
      <c r="BJ235" s="413"/>
      <c r="BK235" s="413"/>
      <c r="BL235" s="413"/>
      <c r="BM235" s="413"/>
      <c r="BN235" s="413"/>
      <c r="BO235" s="413"/>
      <c r="BP235" s="413"/>
      <c r="BQ235" s="413"/>
      <c r="BR235" s="413"/>
      <c r="BS235" s="413"/>
      <c r="BT235" s="413"/>
      <c r="BU235" s="413"/>
      <c r="BV235" s="413"/>
      <c r="BW235" s="413"/>
      <c r="BX235" s="413"/>
      <c r="BY235" s="413"/>
      <c r="BZ235" s="413"/>
      <c r="CA235" s="413"/>
      <c r="CB235" s="413"/>
    </row>
    <row r="236" spans="1:80" x14ac:dyDescent="0.25">
      <c r="B236" s="302">
        <v>585</v>
      </c>
      <c r="C236" s="302" t="s">
        <v>405</v>
      </c>
      <c r="D236" s="302">
        <v>0</v>
      </c>
      <c r="E236" s="413">
        <v>0</v>
      </c>
      <c r="F236" s="413">
        <v>0</v>
      </c>
      <c r="G236" s="413">
        <v>0</v>
      </c>
      <c r="H236" s="413">
        <v>0</v>
      </c>
      <c r="I236" s="413">
        <v>0</v>
      </c>
      <c r="J236" s="413">
        <v>0</v>
      </c>
      <c r="K236" s="413">
        <v>0</v>
      </c>
      <c r="L236" s="413">
        <v>0</v>
      </c>
      <c r="M236" s="413">
        <v>0</v>
      </c>
      <c r="N236" s="413">
        <v>0</v>
      </c>
      <c r="O236" s="413">
        <v>0</v>
      </c>
      <c r="P236" s="413">
        <v>0</v>
      </c>
      <c r="Q236" s="413">
        <v>0</v>
      </c>
      <c r="R236" s="413">
        <v>0</v>
      </c>
      <c r="S236" s="413">
        <v>0</v>
      </c>
      <c r="T236" s="413">
        <v>0</v>
      </c>
      <c r="U236" s="413">
        <v>0</v>
      </c>
      <c r="V236" s="413">
        <v>0</v>
      </c>
      <c r="W236" s="413">
        <v>0</v>
      </c>
      <c r="X236" s="413">
        <v>0</v>
      </c>
      <c r="Y236" s="413">
        <v>0</v>
      </c>
      <c r="Z236" s="413">
        <v>0</v>
      </c>
      <c r="AA236" s="413">
        <v>0</v>
      </c>
      <c r="AB236" s="413">
        <v>0</v>
      </c>
      <c r="AC236" s="413">
        <v>0</v>
      </c>
      <c r="AD236" s="413">
        <v>0</v>
      </c>
      <c r="AE236" s="413">
        <v>0</v>
      </c>
      <c r="AF236" s="413">
        <v>0</v>
      </c>
      <c r="AG236" s="413">
        <v>0</v>
      </c>
      <c r="AH236" s="413">
        <v>0</v>
      </c>
      <c r="AI236" s="413">
        <v>0</v>
      </c>
      <c r="AJ236" s="413">
        <v>0</v>
      </c>
      <c r="AK236" s="413">
        <v>0</v>
      </c>
      <c r="AL236" s="413">
        <v>0</v>
      </c>
      <c r="AM236" s="413">
        <v>0</v>
      </c>
      <c r="AN236" s="413">
        <v>0</v>
      </c>
      <c r="AO236" s="413">
        <v>0</v>
      </c>
      <c r="AP236" s="413">
        <v>0</v>
      </c>
      <c r="AQ236" s="413">
        <v>0</v>
      </c>
      <c r="AR236" s="413">
        <v>0</v>
      </c>
      <c r="AS236" s="413">
        <v>0</v>
      </c>
      <c r="AT236" s="413">
        <v>0</v>
      </c>
      <c r="AU236" s="413"/>
      <c r="AV236" s="413"/>
      <c r="AW236" s="413"/>
      <c r="AX236" s="413"/>
      <c r="AY236" s="413"/>
      <c r="AZ236" s="413"/>
      <c r="BA236" s="413"/>
      <c r="BB236" s="413"/>
      <c r="BC236" s="413"/>
      <c r="BD236" s="413"/>
      <c r="BE236" s="413"/>
      <c r="BF236" s="413"/>
      <c r="BG236" s="413"/>
      <c r="BH236" s="413"/>
      <c r="BI236" s="413"/>
      <c r="BJ236" s="413"/>
      <c r="BK236" s="413"/>
      <c r="BL236" s="413"/>
      <c r="BM236" s="413"/>
      <c r="BN236" s="413"/>
      <c r="BO236" s="413"/>
      <c r="BP236" s="413"/>
      <c r="BQ236" s="413"/>
      <c r="BR236" s="413"/>
      <c r="BS236" s="413"/>
      <c r="BT236" s="413"/>
      <c r="BU236" s="413"/>
      <c r="BV236" s="413"/>
      <c r="BW236" s="413"/>
      <c r="BX236" s="413"/>
      <c r="BY236" s="413"/>
      <c r="BZ236" s="413"/>
      <c r="CA236" s="413"/>
      <c r="CB236" s="413"/>
    </row>
    <row r="237" spans="1:80" x14ac:dyDescent="0.25">
      <c r="A237" s="302">
        <v>586</v>
      </c>
      <c r="B237" s="302">
        <v>586</v>
      </c>
      <c r="C237" s="302" t="s">
        <v>406</v>
      </c>
      <c r="D237" s="302">
        <v>0</v>
      </c>
      <c r="E237" s="413">
        <v>0</v>
      </c>
      <c r="F237" s="413">
        <v>0</v>
      </c>
      <c r="G237" s="413">
        <v>0</v>
      </c>
      <c r="H237" s="413">
        <v>0</v>
      </c>
      <c r="I237" s="413">
        <v>0</v>
      </c>
      <c r="J237" s="413">
        <v>0</v>
      </c>
      <c r="K237" s="413">
        <v>0</v>
      </c>
      <c r="L237" s="413">
        <v>0</v>
      </c>
      <c r="M237" s="413">
        <v>0</v>
      </c>
      <c r="N237" s="413">
        <v>0</v>
      </c>
      <c r="O237" s="413">
        <v>0</v>
      </c>
      <c r="P237" s="413">
        <v>0</v>
      </c>
      <c r="Q237" s="413">
        <v>0</v>
      </c>
      <c r="R237" s="413">
        <v>0</v>
      </c>
      <c r="S237" s="413">
        <v>0</v>
      </c>
      <c r="T237" s="413">
        <v>0</v>
      </c>
      <c r="U237" s="413">
        <v>0</v>
      </c>
      <c r="V237" s="413">
        <v>0</v>
      </c>
      <c r="W237" s="413">
        <v>0</v>
      </c>
      <c r="X237" s="413">
        <v>0</v>
      </c>
      <c r="Y237" s="413">
        <v>0</v>
      </c>
      <c r="Z237" s="413">
        <v>0</v>
      </c>
      <c r="AA237" s="413">
        <v>0</v>
      </c>
      <c r="AB237" s="413">
        <v>0</v>
      </c>
      <c r="AC237" s="413">
        <v>0</v>
      </c>
      <c r="AD237" s="413">
        <v>0</v>
      </c>
      <c r="AE237" s="413">
        <v>0</v>
      </c>
      <c r="AF237" s="413">
        <v>0</v>
      </c>
      <c r="AG237" s="413">
        <v>0</v>
      </c>
      <c r="AH237" s="413">
        <v>0</v>
      </c>
      <c r="AI237" s="413">
        <v>0</v>
      </c>
      <c r="AJ237" s="413">
        <v>0</v>
      </c>
      <c r="AK237" s="413">
        <v>0</v>
      </c>
      <c r="AL237" s="413">
        <v>0</v>
      </c>
      <c r="AM237" s="413">
        <v>0</v>
      </c>
      <c r="AN237" s="413">
        <v>0</v>
      </c>
      <c r="AO237" s="413">
        <v>0</v>
      </c>
      <c r="AP237" s="413">
        <v>0</v>
      </c>
      <c r="AQ237" s="413">
        <v>0</v>
      </c>
      <c r="AR237" s="413">
        <v>0</v>
      </c>
      <c r="AS237" s="413">
        <v>0</v>
      </c>
      <c r="AT237" s="413">
        <v>0</v>
      </c>
      <c r="AU237" s="413"/>
      <c r="AV237" s="413"/>
      <c r="AW237" s="413"/>
      <c r="AX237" s="413"/>
      <c r="AY237" s="413"/>
      <c r="AZ237" s="413"/>
      <c r="BA237" s="413"/>
      <c r="BB237" s="413"/>
      <c r="BC237" s="413"/>
      <c r="BD237" s="413"/>
      <c r="BE237" s="413"/>
      <c r="BF237" s="413"/>
      <c r="BG237" s="413"/>
      <c r="BH237" s="413"/>
      <c r="BI237" s="413"/>
      <c r="BJ237" s="413"/>
      <c r="BK237" s="413"/>
      <c r="BL237" s="413"/>
      <c r="BM237" s="413"/>
      <c r="BN237" s="413"/>
      <c r="BO237" s="413"/>
      <c r="BP237" s="413"/>
      <c r="BQ237" s="413"/>
      <c r="BR237" s="413"/>
      <c r="BS237" s="413"/>
      <c r="BT237" s="413"/>
      <c r="BU237" s="413"/>
      <c r="BV237" s="413"/>
      <c r="BW237" s="413"/>
      <c r="BX237" s="413"/>
      <c r="BY237" s="413"/>
      <c r="BZ237" s="413"/>
      <c r="CA237" s="413"/>
      <c r="CB237" s="413"/>
    </row>
    <row r="238" spans="1:80" x14ac:dyDescent="0.25">
      <c r="B238" s="302">
        <v>587</v>
      </c>
      <c r="C238" s="302" t="s">
        <v>407</v>
      </c>
      <c r="D238" s="302">
        <v>0</v>
      </c>
      <c r="E238" s="413">
        <v>0</v>
      </c>
      <c r="F238" s="413">
        <v>0</v>
      </c>
      <c r="G238" s="413">
        <v>0</v>
      </c>
      <c r="H238" s="413">
        <v>0</v>
      </c>
      <c r="I238" s="413">
        <v>0</v>
      </c>
      <c r="J238" s="413">
        <v>0</v>
      </c>
      <c r="K238" s="413">
        <v>0</v>
      </c>
      <c r="L238" s="413">
        <v>0</v>
      </c>
      <c r="M238" s="413">
        <v>0</v>
      </c>
      <c r="N238" s="413">
        <v>0</v>
      </c>
      <c r="O238" s="413">
        <v>0</v>
      </c>
      <c r="P238" s="413">
        <v>0</v>
      </c>
      <c r="Q238" s="413">
        <v>0</v>
      </c>
      <c r="R238" s="413">
        <v>0</v>
      </c>
      <c r="S238" s="413">
        <v>0</v>
      </c>
      <c r="T238" s="413">
        <v>0</v>
      </c>
      <c r="U238" s="413">
        <v>0</v>
      </c>
      <c r="V238" s="413">
        <v>0</v>
      </c>
      <c r="W238" s="413">
        <v>0</v>
      </c>
      <c r="X238" s="413">
        <v>0</v>
      </c>
      <c r="Y238" s="413">
        <v>0</v>
      </c>
      <c r="Z238" s="413">
        <v>0</v>
      </c>
      <c r="AA238" s="413">
        <v>0</v>
      </c>
      <c r="AB238" s="413">
        <v>0</v>
      </c>
      <c r="AC238" s="413">
        <v>0</v>
      </c>
      <c r="AD238" s="413">
        <v>0</v>
      </c>
      <c r="AE238" s="413">
        <v>0</v>
      </c>
      <c r="AF238" s="413">
        <v>0</v>
      </c>
      <c r="AG238" s="413">
        <v>0</v>
      </c>
      <c r="AH238" s="413">
        <v>0</v>
      </c>
      <c r="AI238" s="413">
        <v>0</v>
      </c>
      <c r="AJ238" s="413">
        <v>0</v>
      </c>
      <c r="AK238" s="413">
        <v>0</v>
      </c>
      <c r="AL238" s="413">
        <v>0</v>
      </c>
      <c r="AM238" s="413">
        <v>0</v>
      </c>
      <c r="AN238" s="413">
        <v>0</v>
      </c>
      <c r="AO238" s="413">
        <v>0</v>
      </c>
      <c r="AP238" s="413">
        <v>0</v>
      </c>
      <c r="AQ238" s="413">
        <v>0</v>
      </c>
      <c r="AR238" s="413">
        <v>0</v>
      </c>
      <c r="AS238" s="413">
        <v>0</v>
      </c>
      <c r="AT238" s="413">
        <v>0</v>
      </c>
      <c r="AU238" s="413"/>
      <c r="AV238" s="413"/>
      <c r="AW238" s="413"/>
      <c r="AX238" s="413"/>
      <c r="AY238" s="413"/>
      <c r="AZ238" s="413"/>
      <c r="BA238" s="413"/>
      <c r="BB238" s="413"/>
      <c r="BC238" s="413"/>
      <c r="BD238" s="413"/>
      <c r="BE238" s="413"/>
      <c r="BF238" s="413"/>
      <c r="BG238" s="413"/>
      <c r="BH238" s="413"/>
      <c r="BI238" s="413"/>
      <c r="BJ238" s="413"/>
      <c r="BK238" s="413"/>
      <c r="BL238" s="413"/>
      <c r="BM238" s="413"/>
      <c r="BN238" s="413"/>
      <c r="BO238" s="413"/>
      <c r="BP238" s="413"/>
      <c r="BQ238" s="413"/>
      <c r="BR238" s="413"/>
      <c r="BS238" s="413"/>
      <c r="BT238" s="413"/>
      <c r="BU238" s="413"/>
      <c r="BV238" s="413"/>
      <c r="BW238" s="413"/>
      <c r="BX238" s="413"/>
      <c r="BY238" s="413"/>
      <c r="BZ238" s="413"/>
      <c r="CA238" s="413"/>
      <c r="CB238" s="413"/>
    </row>
    <row r="239" spans="1:80" x14ac:dyDescent="0.25">
      <c r="B239" s="302">
        <v>588</v>
      </c>
      <c r="C239" s="302" t="s">
        <v>408</v>
      </c>
      <c r="D239" s="302">
        <v>0</v>
      </c>
      <c r="E239" s="413">
        <v>0</v>
      </c>
      <c r="F239" s="413">
        <v>0</v>
      </c>
      <c r="G239" s="413">
        <v>0</v>
      </c>
      <c r="H239" s="413">
        <v>0</v>
      </c>
      <c r="I239" s="413">
        <v>0</v>
      </c>
      <c r="J239" s="413">
        <v>0</v>
      </c>
      <c r="K239" s="413">
        <v>0</v>
      </c>
      <c r="L239" s="413">
        <v>0</v>
      </c>
      <c r="M239" s="413">
        <v>0</v>
      </c>
      <c r="N239" s="413">
        <v>0</v>
      </c>
      <c r="O239" s="413">
        <v>0</v>
      </c>
      <c r="P239" s="413">
        <v>0</v>
      </c>
      <c r="Q239" s="413">
        <v>0</v>
      </c>
      <c r="R239" s="413">
        <v>0</v>
      </c>
      <c r="S239" s="413">
        <v>0</v>
      </c>
      <c r="T239" s="413">
        <v>0</v>
      </c>
      <c r="U239" s="413">
        <v>0</v>
      </c>
      <c r="V239" s="413">
        <v>0</v>
      </c>
      <c r="W239" s="413">
        <v>0</v>
      </c>
      <c r="X239" s="413">
        <v>0</v>
      </c>
      <c r="Y239" s="413">
        <v>0</v>
      </c>
      <c r="Z239" s="413">
        <v>0</v>
      </c>
      <c r="AA239" s="413">
        <v>0</v>
      </c>
      <c r="AB239" s="413">
        <v>0</v>
      </c>
      <c r="AC239" s="413">
        <v>0</v>
      </c>
      <c r="AD239" s="413">
        <v>0</v>
      </c>
      <c r="AE239" s="413">
        <v>0</v>
      </c>
      <c r="AF239" s="413">
        <v>0</v>
      </c>
      <c r="AG239" s="413">
        <v>0</v>
      </c>
      <c r="AH239" s="413">
        <v>0</v>
      </c>
      <c r="AI239" s="413">
        <v>0</v>
      </c>
      <c r="AJ239" s="413">
        <v>0</v>
      </c>
      <c r="AK239" s="413">
        <v>0</v>
      </c>
      <c r="AL239" s="413">
        <v>0</v>
      </c>
      <c r="AM239" s="413">
        <v>0</v>
      </c>
      <c r="AN239" s="413">
        <v>0</v>
      </c>
      <c r="AO239" s="413">
        <v>0</v>
      </c>
      <c r="AP239" s="413">
        <v>0</v>
      </c>
      <c r="AQ239" s="413">
        <v>0</v>
      </c>
      <c r="AR239" s="413">
        <v>0</v>
      </c>
      <c r="AS239" s="413">
        <v>0</v>
      </c>
      <c r="AT239" s="413">
        <v>0</v>
      </c>
      <c r="AU239" s="413"/>
      <c r="AV239" s="413"/>
      <c r="AW239" s="413"/>
      <c r="AX239" s="413"/>
      <c r="AY239" s="413"/>
      <c r="AZ239" s="413"/>
      <c r="BA239" s="413"/>
      <c r="BB239" s="413"/>
      <c r="BC239" s="413"/>
      <c r="BD239" s="413"/>
      <c r="BE239" s="413"/>
      <c r="BF239" s="413"/>
      <c r="BG239" s="413"/>
      <c r="BH239" s="413"/>
      <c r="BI239" s="413"/>
      <c r="BJ239" s="413"/>
      <c r="BK239" s="413"/>
      <c r="BL239" s="413"/>
      <c r="BM239" s="413"/>
      <c r="BN239" s="413"/>
      <c r="BO239" s="413"/>
      <c r="BP239" s="413"/>
      <c r="BQ239" s="413"/>
      <c r="BR239" s="413"/>
      <c r="BS239" s="413"/>
      <c r="BT239" s="413"/>
      <c r="BU239" s="413"/>
      <c r="BV239" s="413"/>
      <c r="BW239" s="413"/>
      <c r="BX239" s="413"/>
      <c r="BY239" s="413"/>
      <c r="BZ239" s="413"/>
      <c r="CA239" s="413"/>
      <c r="CB239" s="413"/>
    </row>
    <row r="240" spans="1:80" x14ac:dyDescent="0.25">
      <c r="B240" s="302">
        <v>993</v>
      </c>
      <c r="C240" s="302" t="s">
        <v>1523</v>
      </c>
      <c r="D240" s="302">
        <v>0</v>
      </c>
      <c r="E240" s="413">
        <v>0</v>
      </c>
      <c r="F240" s="413">
        <v>0</v>
      </c>
      <c r="G240" s="413">
        <v>0</v>
      </c>
      <c r="H240" s="413">
        <v>0</v>
      </c>
      <c r="I240" s="413">
        <v>0</v>
      </c>
      <c r="J240" s="413">
        <v>0</v>
      </c>
      <c r="K240" s="413">
        <v>0</v>
      </c>
      <c r="L240" s="413">
        <v>0</v>
      </c>
      <c r="M240" s="413">
        <v>0</v>
      </c>
      <c r="N240" s="413">
        <v>0</v>
      </c>
      <c r="O240" s="413">
        <v>0</v>
      </c>
      <c r="P240" s="413">
        <v>0</v>
      </c>
      <c r="Q240" s="413">
        <v>0</v>
      </c>
      <c r="R240" s="413">
        <v>0</v>
      </c>
      <c r="S240" s="413">
        <v>0</v>
      </c>
      <c r="T240" s="413">
        <v>0</v>
      </c>
      <c r="U240" s="413">
        <v>0</v>
      </c>
      <c r="V240" s="413">
        <v>0</v>
      </c>
      <c r="W240" s="413">
        <v>0</v>
      </c>
      <c r="X240" s="413">
        <v>0</v>
      </c>
      <c r="Y240" s="413">
        <v>0</v>
      </c>
      <c r="Z240" s="413">
        <v>0</v>
      </c>
      <c r="AA240" s="413">
        <v>0</v>
      </c>
      <c r="AB240" s="413">
        <v>0</v>
      </c>
      <c r="AC240" s="413">
        <v>0</v>
      </c>
      <c r="AD240" s="413">
        <v>0</v>
      </c>
      <c r="AE240" s="413">
        <v>0</v>
      </c>
      <c r="AF240" s="413">
        <v>0</v>
      </c>
      <c r="AG240" s="413">
        <v>0</v>
      </c>
      <c r="AH240" s="413">
        <v>0</v>
      </c>
      <c r="AI240" s="413">
        <v>0</v>
      </c>
      <c r="AJ240" s="413">
        <v>0</v>
      </c>
      <c r="AK240" s="413">
        <v>0</v>
      </c>
      <c r="AL240" s="413">
        <v>0</v>
      </c>
      <c r="AM240" s="413">
        <v>0</v>
      </c>
      <c r="AN240" s="413">
        <v>0</v>
      </c>
      <c r="AO240" s="413">
        <v>0</v>
      </c>
      <c r="AP240" s="413">
        <v>0</v>
      </c>
      <c r="AQ240" s="413">
        <v>0</v>
      </c>
      <c r="AR240" s="413">
        <v>0</v>
      </c>
      <c r="AS240" s="413">
        <v>0</v>
      </c>
      <c r="AT240" s="413">
        <v>0</v>
      </c>
      <c r="AU240" s="413"/>
      <c r="AV240" s="413"/>
      <c r="AW240" s="413"/>
      <c r="AX240" s="413"/>
      <c r="AY240" s="413"/>
      <c r="AZ240" s="413"/>
      <c r="BA240" s="413"/>
      <c r="BB240" s="413"/>
      <c r="BC240" s="413"/>
      <c r="BD240" s="413"/>
      <c r="BE240" s="413"/>
      <c r="BF240" s="413"/>
      <c r="BG240" s="413"/>
      <c r="BH240" s="413"/>
      <c r="BI240" s="413"/>
      <c r="BJ240" s="413"/>
      <c r="BK240" s="413"/>
      <c r="BL240" s="413"/>
      <c r="BM240" s="413"/>
      <c r="BN240" s="413"/>
      <c r="BO240" s="413"/>
      <c r="BP240" s="413"/>
      <c r="BQ240" s="413"/>
      <c r="BR240" s="413"/>
      <c r="BS240" s="413"/>
      <c r="BT240" s="413"/>
      <c r="BU240" s="413"/>
      <c r="BV240" s="413"/>
      <c r="BW240" s="413"/>
      <c r="BX240" s="413"/>
      <c r="BY240" s="413"/>
      <c r="BZ240" s="413"/>
      <c r="CA240" s="413"/>
      <c r="CB240" s="413"/>
    </row>
    <row r="241" spans="1:80" x14ac:dyDescent="0.25">
      <c r="B241" s="302">
        <v>994</v>
      </c>
      <c r="C241" s="302" t="s">
        <v>1524</v>
      </c>
      <c r="D241" s="302">
        <v>0</v>
      </c>
      <c r="E241" s="413">
        <v>0</v>
      </c>
      <c r="F241" s="413">
        <v>0</v>
      </c>
      <c r="G241" s="413">
        <v>0</v>
      </c>
      <c r="H241" s="413">
        <v>0</v>
      </c>
      <c r="I241" s="413">
        <v>0</v>
      </c>
      <c r="J241" s="413">
        <v>0</v>
      </c>
      <c r="K241" s="413">
        <v>0</v>
      </c>
      <c r="L241" s="413">
        <v>0</v>
      </c>
      <c r="M241" s="413">
        <v>0</v>
      </c>
      <c r="N241" s="413">
        <v>0</v>
      </c>
      <c r="O241" s="413">
        <v>0</v>
      </c>
      <c r="P241" s="413">
        <v>0</v>
      </c>
      <c r="Q241" s="413">
        <v>0</v>
      </c>
      <c r="R241" s="413">
        <v>0</v>
      </c>
      <c r="S241" s="413">
        <v>0</v>
      </c>
      <c r="T241" s="413">
        <v>0</v>
      </c>
      <c r="U241" s="413">
        <v>0</v>
      </c>
      <c r="V241" s="413">
        <v>0</v>
      </c>
      <c r="W241" s="413">
        <v>0</v>
      </c>
      <c r="X241" s="413">
        <v>0</v>
      </c>
      <c r="Y241" s="413">
        <v>0</v>
      </c>
      <c r="Z241" s="413">
        <v>0</v>
      </c>
      <c r="AA241" s="413">
        <v>0</v>
      </c>
      <c r="AB241" s="413">
        <v>0</v>
      </c>
      <c r="AC241" s="413">
        <v>0</v>
      </c>
      <c r="AD241" s="413">
        <v>0</v>
      </c>
      <c r="AE241" s="413">
        <v>0</v>
      </c>
      <c r="AF241" s="413">
        <v>0</v>
      </c>
      <c r="AG241" s="413">
        <v>0</v>
      </c>
      <c r="AH241" s="413">
        <v>0</v>
      </c>
      <c r="AI241" s="413">
        <v>0</v>
      </c>
      <c r="AJ241" s="413">
        <v>0</v>
      </c>
      <c r="AK241" s="413">
        <v>0</v>
      </c>
      <c r="AL241" s="413">
        <v>0</v>
      </c>
      <c r="AM241" s="413">
        <v>0</v>
      </c>
      <c r="AN241" s="413">
        <v>0</v>
      </c>
      <c r="AO241" s="413">
        <v>0</v>
      </c>
      <c r="AP241" s="413">
        <v>0</v>
      </c>
      <c r="AQ241" s="413">
        <v>0</v>
      </c>
      <c r="AR241" s="413">
        <v>0</v>
      </c>
      <c r="AS241" s="413">
        <v>0</v>
      </c>
      <c r="AT241" s="413">
        <v>0</v>
      </c>
      <c r="AU241" s="413"/>
      <c r="AV241" s="413"/>
      <c r="AW241" s="413"/>
      <c r="AX241" s="413"/>
      <c r="AY241" s="413"/>
      <c r="AZ241" s="413"/>
      <c r="BA241" s="413"/>
      <c r="BB241" s="413"/>
      <c r="BC241" s="413"/>
      <c r="BD241" s="413"/>
      <c r="BE241" s="413"/>
      <c r="BF241" s="413"/>
      <c r="BG241" s="413"/>
      <c r="BH241" s="413"/>
      <c r="BI241" s="413"/>
      <c r="BJ241" s="413"/>
      <c r="BK241" s="413"/>
      <c r="BL241" s="413"/>
      <c r="BM241" s="413"/>
      <c r="BN241" s="413"/>
      <c r="BO241" s="413"/>
      <c r="BP241" s="413"/>
      <c r="BQ241" s="413"/>
      <c r="BR241" s="413"/>
      <c r="BS241" s="413"/>
      <c r="BT241" s="413"/>
      <c r="BU241" s="413"/>
      <c r="BV241" s="413"/>
      <c r="BW241" s="413"/>
      <c r="BX241" s="413"/>
      <c r="BY241" s="413"/>
      <c r="BZ241" s="413"/>
      <c r="CA241" s="413"/>
      <c r="CB241" s="413"/>
    </row>
    <row r="242" spans="1:80" x14ac:dyDescent="0.25">
      <c r="B242" s="412">
        <v>995</v>
      </c>
      <c r="C242" s="302" t="s">
        <v>290</v>
      </c>
      <c r="D242" s="302">
        <v>0</v>
      </c>
      <c r="E242" s="413">
        <v>0</v>
      </c>
      <c r="F242" s="413">
        <v>0</v>
      </c>
      <c r="G242" s="413">
        <v>0</v>
      </c>
      <c r="H242" s="413">
        <v>0</v>
      </c>
      <c r="I242" s="413">
        <v>0</v>
      </c>
      <c r="J242" s="413">
        <v>0</v>
      </c>
      <c r="K242" s="413">
        <v>0</v>
      </c>
      <c r="L242" s="413">
        <v>0</v>
      </c>
      <c r="M242" s="413">
        <v>0</v>
      </c>
      <c r="N242" s="413">
        <v>0</v>
      </c>
      <c r="O242" s="413">
        <v>0</v>
      </c>
      <c r="P242" s="413">
        <v>0</v>
      </c>
      <c r="Q242" s="413">
        <v>0</v>
      </c>
      <c r="R242" s="413">
        <v>0</v>
      </c>
      <c r="S242" s="413">
        <v>0</v>
      </c>
      <c r="T242" s="413">
        <v>0</v>
      </c>
      <c r="U242" s="413">
        <v>0</v>
      </c>
      <c r="V242" s="413">
        <v>0</v>
      </c>
      <c r="W242" s="413">
        <v>0</v>
      </c>
      <c r="X242" s="413">
        <v>0</v>
      </c>
      <c r="Y242" s="413">
        <v>0</v>
      </c>
      <c r="Z242" s="413">
        <v>0</v>
      </c>
      <c r="AA242" s="413">
        <v>0</v>
      </c>
      <c r="AB242" s="413">
        <v>0</v>
      </c>
      <c r="AC242" s="413">
        <v>0</v>
      </c>
      <c r="AD242" s="413">
        <v>0</v>
      </c>
      <c r="AE242" s="413">
        <v>0</v>
      </c>
      <c r="AF242" s="413">
        <v>0</v>
      </c>
      <c r="AG242" s="413">
        <v>0</v>
      </c>
      <c r="AH242" s="413">
        <v>0</v>
      </c>
      <c r="AI242" s="413">
        <v>0</v>
      </c>
      <c r="AJ242" s="413">
        <v>0</v>
      </c>
      <c r="AK242" s="413">
        <v>0</v>
      </c>
      <c r="AL242" s="413">
        <v>0</v>
      </c>
      <c r="AM242" s="413">
        <v>0</v>
      </c>
      <c r="AN242" s="413">
        <v>0</v>
      </c>
      <c r="AO242" s="413">
        <v>0</v>
      </c>
      <c r="AP242" s="413">
        <v>0</v>
      </c>
      <c r="AQ242" s="413">
        <v>0</v>
      </c>
      <c r="AR242" s="413">
        <v>0</v>
      </c>
      <c r="AS242" s="413">
        <v>0</v>
      </c>
      <c r="AT242" s="413">
        <v>0</v>
      </c>
      <c r="AU242" s="413"/>
      <c r="AV242" s="413"/>
      <c r="AW242" s="413"/>
      <c r="AX242" s="413"/>
      <c r="AY242" s="413"/>
      <c r="AZ242" s="413"/>
      <c r="BA242" s="413"/>
      <c r="BB242" s="413"/>
      <c r="BC242" s="413"/>
      <c r="BD242" s="413"/>
      <c r="BE242" s="413"/>
      <c r="BF242" s="413"/>
      <c r="BG242" s="413"/>
      <c r="BH242" s="413"/>
      <c r="BI242" s="413"/>
      <c r="BJ242" s="413"/>
      <c r="BK242" s="413"/>
      <c r="BL242" s="413"/>
      <c r="BM242" s="413"/>
      <c r="BN242" s="413"/>
      <c r="BO242" s="413"/>
      <c r="BP242" s="413"/>
      <c r="BQ242" s="413"/>
      <c r="BR242" s="413"/>
      <c r="BS242" s="413"/>
      <c r="BT242" s="413"/>
      <c r="BU242" s="413"/>
      <c r="BV242" s="413"/>
      <c r="BW242" s="413"/>
      <c r="BX242" s="413"/>
      <c r="BY242" s="413"/>
      <c r="BZ242" s="413"/>
      <c r="CA242" s="413"/>
      <c r="CB242" s="413"/>
    </row>
    <row r="243" spans="1:80" x14ac:dyDescent="0.25">
      <c r="B243" s="412">
        <v>996</v>
      </c>
      <c r="C243" s="302" t="s">
        <v>291</v>
      </c>
      <c r="D243" s="302">
        <v>0</v>
      </c>
      <c r="E243" s="413">
        <v>0</v>
      </c>
      <c r="F243" s="413">
        <v>0</v>
      </c>
      <c r="G243" s="413">
        <v>0</v>
      </c>
      <c r="H243" s="413">
        <v>0</v>
      </c>
      <c r="I243" s="413">
        <v>0</v>
      </c>
      <c r="J243" s="413">
        <v>0</v>
      </c>
      <c r="K243" s="413">
        <v>0</v>
      </c>
      <c r="L243" s="413">
        <v>0</v>
      </c>
      <c r="M243" s="413">
        <v>0</v>
      </c>
      <c r="N243" s="413">
        <v>0</v>
      </c>
      <c r="O243" s="413">
        <v>0</v>
      </c>
      <c r="P243" s="413">
        <v>0</v>
      </c>
      <c r="Q243" s="413">
        <v>0</v>
      </c>
      <c r="R243" s="413">
        <v>0</v>
      </c>
      <c r="S243" s="413">
        <v>0</v>
      </c>
      <c r="T243" s="413">
        <v>0</v>
      </c>
      <c r="U243" s="413">
        <v>0</v>
      </c>
      <c r="V243" s="413">
        <v>0</v>
      </c>
      <c r="W243" s="413">
        <v>0</v>
      </c>
      <c r="X243" s="413">
        <v>0</v>
      </c>
      <c r="Y243" s="413">
        <v>0</v>
      </c>
      <c r="Z243" s="413">
        <v>0</v>
      </c>
      <c r="AA243" s="413">
        <v>0</v>
      </c>
      <c r="AB243" s="413">
        <v>0</v>
      </c>
      <c r="AC243" s="413">
        <v>0</v>
      </c>
      <c r="AD243" s="413">
        <v>0</v>
      </c>
      <c r="AE243" s="413">
        <v>0</v>
      </c>
      <c r="AF243" s="413">
        <v>0</v>
      </c>
      <c r="AG243" s="413">
        <v>0</v>
      </c>
      <c r="AH243" s="413">
        <v>0</v>
      </c>
      <c r="AI243" s="413">
        <v>0</v>
      </c>
      <c r="AJ243" s="413">
        <v>0</v>
      </c>
      <c r="AK243" s="413">
        <v>0</v>
      </c>
      <c r="AL243" s="413">
        <v>0</v>
      </c>
      <c r="AM243" s="413">
        <v>0</v>
      </c>
      <c r="AN243" s="413">
        <v>0</v>
      </c>
      <c r="AO243" s="413">
        <v>0</v>
      </c>
      <c r="AP243" s="413">
        <v>0</v>
      </c>
      <c r="AQ243" s="413">
        <v>0</v>
      </c>
      <c r="AR243" s="413">
        <v>0</v>
      </c>
      <c r="AS243" s="413">
        <v>0</v>
      </c>
      <c r="AT243" s="413">
        <v>0</v>
      </c>
      <c r="AU243" s="413"/>
      <c r="AV243" s="413"/>
      <c r="AW243" s="413"/>
      <c r="AX243" s="413"/>
      <c r="AY243" s="413"/>
      <c r="AZ243" s="413"/>
      <c r="BA243" s="413"/>
      <c r="BB243" s="413"/>
      <c r="BC243" s="413"/>
      <c r="BD243" s="413"/>
      <c r="BE243" s="413"/>
      <c r="BF243" s="413"/>
      <c r="BG243" s="413"/>
      <c r="BH243" s="413"/>
      <c r="BI243" s="413"/>
      <c r="BJ243" s="413"/>
      <c r="BK243" s="413"/>
      <c r="BL243" s="413"/>
      <c r="BM243" s="413"/>
      <c r="BN243" s="413"/>
      <c r="BO243" s="413"/>
      <c r="BP243" s="413"/>
      <c r="BQ243" s="413"/>
      <c r="BR243" s="413"/>
      <c r="BS243" s="413"/>
      <c r="BT243" s="413"/>
      <c r="BU243" s="413"/>
      <c r="BV243" s="413"/>
      <c r="BW243" s="413"/>
      <c r="BX243" s="413"/>
      <c r="BY243" s="413"/>
      <c r="BZ243" s="413"/>
      <c r="CA243" s="413"/>
      <c r="CB243" s="413"/>
    </row>
    <row r="244" spans="1:80" x14ac:dyDescent="0.25">
      <c r="A244" s="302">
        <v>998</v>
      </c>
      <c r="B244" s="412">
        <v>998</v>
      </c>
      <c r="C244" s="302" t="s">
        <v>292</v>
      </c>
      <c r="D244" s="302">
        <v>60</v>
      </c>
      <c r="E244" s="414">
        <v>60</v>
      </c>
      <c r="F244" s="414">
        <v>60</v>
      </c>
      <c r="G244" s="414">
        <v>60</v>
      </c>
      <c r="H244" s="414">
        <v>60</v>
      </c>
      <c r="I244" s="414">
        <v>60</v>
      </c>
      <c r="J244" s="414">
        <v>60</v>
      </c>
      <c r="K244" s="414">
        <v>60</v>
      </c>
      <c r="L244" s="414">
        <v>60</v>
      </c>
      <c r="M244" s="414">
        <v>60</v>
      </c>
      <c r="N244" s="414">
        <v>60</v>
      </c>
      <c r="O244" s="414">
        <v>60</v>
      </c>
      <c r="P244" s="414">
        <v>60</v>
      </c>
      <c r="Q244" s="414">
        <v>60</v>
      </c>
      <c r="R244" s="414">
        <v>60</v>
      </c>
      <c r="S244" s="414">
        <v>60</v>
      </c>
      <c r="T244" s="414">
        <v>60</v>
      </c>
      <c r="U244" s="414">
        <v>60</v>
      </c>
      <c r="V244" s="414">
        <v>60</v>
      </c>
      <c r="W244" s="414">
        <v>60</v>
      </c>
      <c r="X244" s="414">
        <v>60</v>
      </c>
      <c r="Y244" s="414">
        <v>60</v>
      </c>
      <c r="Z244" s="414">
        <v>60</v>
      </c>
      <c r="AA244" s="414">
        <v>60</v>
      </c>
      <c r="AB244" s="414">
        <v>60</v>
      </c>
      <c r="AC244" s="414">
        <v>60</v>
      </c>
      <c r="AD244" s="414">
        <v>60</v>
      </c>
      <c r="AE244" s="414">
        <v>60</v>
      </c>
      <c r="AF244" s="414">
        <v>60</v>
      </c>
      <c r="AG244" s="414">
        <v>60</v>
      </c>
      <c r="AH244" s="414">
        <v>60</v>
      </c>
      <c r="AI244" s="414">
        <v>60</v>
      </c>
      <c r="AJ244" s="414">
        <v>60</v>
      </c>
      <c r="AK244" s="414">
        <v>60</v>
      </c>
      <c r="AL244" s="414">
        <v>60</v>
      </c>
      <c r="AM244" s="414">
        <v>60</v>
      </c>
      <c r="AN244" s="414">
        <v>60</v>
      </c>
      <c r="AO244" s="414">
        <v>60</v>
      </c>
      <c r="AP244" s="414">
        <v>60</v>
      </c>
      <c r="AQ244" s="414">
        <v>60</v>
      </c>
      <c r="AR244" s="414">
        <v>60</v>
      </c>
      <c r="AS244" s="414">
        <v>60</v>
      </c>
      <c r="AT244" s="414">
        <v>60</v>
      </c>
      <c r="AU244" s="414"/>
      <c r="AV244" s="414"/>
      <c r="AW244" s="414"/>
      <c r="AX244" s="414"/>
      <c r="AY244" s="414"/>
      <c r="AZ244" s="414"/>
      <c r="BA244" s="414"/>
      <c r="BB244" s="414"/>
      <c r="BC244" s="414"/>
      <c r="BD244" s="414"/>
      <c r="BE244" s="414"/>
      <c r="BF244" s="414"/>
      <c r="BG244" s="414"/>
      <c r="BH244" s="414"/>
      <c r="BI244" s="414"/>
      <c r="BJ244" s="414"/>
      <c r="BK244" s="414"/>
      <c r="BL244" s="414"/>
      <c r="BM244" s="414"/>
      <c r="BN244" s="414"/>
      <c r="BO244" s="414"/>
      <c r="BP244" s="414"/>
      <c r="BQ244" s="414"/>
      <c r="BR244" s="414"/>
      <c r="BS244" s="414"/>
      <c r="BT244" s="414"/>
      <c r="BU244" s="414"/>
      <c r="BV244" s="414"/>
      <c r="BW244" s="414"/>
      <c r="BX244" s="414"/>
      <c r="BY244" s="414"/>
      <c r="BZ244" s="414"/>
      <c r="CA244" s="414"/>
      <c r="CB244" s="414"/>
    </row>
    <row r="245" spans="1:80" x14ac:dyDescent="0.25">
      <c r="A245" s="302">
        <v>999</v>
      </c>
      <c r="B245" s="412">
        <v>999</v>
      </c>
      <c r="C245" s="302" t="s">
        <v>293</v>
      </c>
      <c r="D245" s="302">
        <v>602182</v>
      </c>
      <c r="E245" s="414">
        <v>601701</v>
      </c>
      <c r="F245" s="414">
        <v>601702</v>
      </c>
      <c r="G245" s="414">
        <v>601703</v>
      </c>
      <c r="H245" s="414">
        <v>604187</v>
      </c>
      <c r="I245" s="414">
        <v>601707</v>
      </c>
      <c r="J245" s="414">
        <v>601708</v>
      </c>
      <c r="K245" s="414">
        <v>601795</v>
      </c>
      <c r="L245" s="414">
        <v>602352</v>
      </c>
      <c r="M245" s="414">
        <v>60952</v>
      </c>
      <c r="N245" s="414">
        <v>601717</v>
      </c>
      <c r="O245" s="414">
        <v>601719</v>
      </c>
      <c r="P245" s="414">
        <v>601720</v>
      </c>
      <c r="Q245" s="414">
        <v>601504</v>
      </c>
      <c r="R245" s="414">
        <v>601723</v>
      </c>
      <c r="S245" s="414">
        <v>601781</v>
      </c>
      <c r="T245" s="414">
        <v>601782</v>
      </c>
      <c r="U245" s="414">
        <v>601724</v>
      </c>
      <c r="V245" s="414">
        <v>601725</v>
      </c>
      <c r="W245" s="414">
        <v>601726</v>
      </c>
      <c r="X245" s="414">
        <v>602154</v>
      </c>
      <c r="Y245" s="414">
        <v>604030</v>
      </c>
      <c r="Z245" s="414">
        <v>601738</v>
      </c>
      <c r="AA245" s="414">
        <v>601744</v>
      </c>
      <c r="AB245" s="414">
        <v>601745</v>
      </c>
      <c r="AC245" s="414">
        <v>601746</v>
      </c>
      <c r="AD245" s="414">
        <v>601748</v>
      </c>
      <c r="AE245" s="414">
        <v>601790</v>
      </c>
      <c r="AF245" s="414">
        <v>602369</v>
      </c>
      <c r="AG245" s="414">
        <v>601760</v>
      </c>
      <c r="AH245" s="414">
        <v>601761</v>
      </c>
      <c r="AI245" s="414">
        <v>601797</v>
      </c>
      <c r="AJ245" s="414">
        <v>602153</v>
      </c>
      <c r="AK245" s="414">
        <v>601764</v>
      </c>
      <c r="AL245" s="414">
        <v>602389</v>
      </c>
      <c r="AM245" s="414">
        <v>601765</v>
      </c>
      <c r="AN245" s="414">
        <v>602178</v>
      </c>
      <c r="AO245" s="414">
        <v>602390</v>
      </c>
      <c r="AP245" s="414">
        <v>602391</v>
      </c>
      <c r="AQ245" s="414">
        <v>602414</v>
      </c>
      <c r="AR245" s="414">
        <v>602395</v>
      </c>
      <c r="AS245" s="414">
        <v>602333</v>
      </c>
      <c r="AT245" s="414">
        <v>601774</v>
      </c>
      <c r="AU245" s="414"/>
      <c r="AV245" s="414"/>
      <c r="AW245" s="414"/>
      <c r="AX245" s="414"/>
      <c r="AY245" s="414"/>
      <c r="AZ245" s="414"/>
      <c r="BA245" s="414"/>
      <c r="BB245" s="414"/>
      <c r="BC245" s="414"/>
      <c r="BD245" s="414"/>
      <c r="BE245" s="414"/>
      <c r="BF245" s="414"/>
      <c r="BG245" s="414"/>
      <c r="BH245" s="414"/>
      <c r="BI245" s="414"/>
      <c r="BJ245" s="414"/>
      <c r="BK245" s="414"/>
      <c r="BL245" s="414"/>
      <c r="BM245" s="414"/>
      <c r="BN245" s="414"/>
      <c r="BO245" s="414"/>
      <c r="BP245" s="414"/>
      <c r="BQ245" s="414"/>
      <c r="BR245" s="414"/>
      <c r="BS245" s="414"/>
      <c r="BT245" s="414"/>
      <c r="BU245" s="414"/>
      <c r="BV245" s="414"/>
      <c r="BW245" s="414"/>
      <c r="BX245" s="414"/>
      <c r="BY245" s="414"/>
      <c r="BZ245" s="414"/>
      <c r="CA245" s="414"/>
      <c r="CB245" s="414"/>
    </row>
    <row r="246" spans="1:80" x14ac:dyDescent="0.25">
      <c r="A246" s="302">
        <v>591</v>
      </c>
      <c r="B246" s="412">
        <v>591</v>
      </c>
      <c r="C246" s="302" t="s">
        <v>375</v>
      </c>
      <c r="D246" s="302">
        <v>1796374</v>
      </c>
      <c r="E246" s="414">
        <v>5200600</v>
      </c>
      <c r="F246" s="414">
        <v>0</v>
      </c>
      <c r="G246" s="414">
        <v>5427291</v>
      </c>
      <c r="H246" s="414">
        <v>147930</v>
      </c>
      <c r="I246" s="414">
        <v>0</v>
      </c>
      <c r="J246" s="414">
        <v>0</v>
      </c>
      <c r="K246" s="414">
        <v>3277832</v>
      </c>
      <c r="L246" s="414">
        <v>10433653</v>
      </c>
      <c r="M246" s="414">
        <v>14347284</v>
      </c>
      <c r="N246" s="414">
        <v>1424007</v>
      </c>
      <c r="O246" s="414">
        <v>445048</v>
      </c>
      <c r="P246" s="414">
        <v>12288255</v>
      </c>
      <c r="Q246" s="414">
        <v>0</v>
      </c>
      <c r="R246" s="414">
        <v>0</v>
      </c>
      <c r="S246" s="414">
        <v>0</v>
      </c>
      <c r="T246" s="414">
        <v>0</v>
      </c>
      <c r="U246" s="414">
        <v>0</v>
      </c>
      <c r="V246" s="414">
        <v>34726006</v>
      </c>
      <c r="W246" s="414">
        <v>0</v>
      </c>
      <c r="X246" s="414">
        <v>3001064</v>
      </c>
      <c r="Y246" s="414">
        <v>0</v>
      </c>
      <c r="Z246" s="414">
        <v>0</v>
      </c>
      <c r="AA246" s="414">
        <v>4023089</v>
      </c>
      <c r="AB246" s="414">
        <v>0</v>
      </c>
      <c r="AC246" s="414">
        <v>0</v>
      </c>
      <c r="AD246" s="414">
        <v>0</v>
      </c>
      <c r="AE246" s="414">
        <v>0</v>
      </c>
      <c r="AF246" s="414">
        <v>26281582</v>
      </c>
      <c r="AG246" s="414">
        <v>0</v>
      </c>
      <c r="AH246" s="414">
        <v>758607</v>
      </c>
      <c r="AI246" s="414">
        <v>1278277</v>
      </c>
      <c r="AJ246" s="414">
        <v>0</v>
      </c>
      <c r="AK246" s="414">
        <v>26779057</v>
      </c>
      <c r="AL246" s="414">
        <v>0</v>
      </c>
      <c r="AM246" s="414">
        <v>0</v>
      </c>
      <c r="AN246" s="414">
        <v>0</v>
      </c>
      <c r="AO246" s="414">
        <v>0</v>
      </c>
      <c r="AP246" s="414">
        <v>0</v>
      </c>
      <c r="AQ246" s="414">
        <v>0</v>
      </c>
      <c r="AR246" s="414">
        <v>5623593</v>
      </c>
      <c r="AS246" s="414">
        <v>1487013</v>
      </c>
      <c r="AT246" s="414">
        <v>0</v>
      </c>
      <c r="AU246" s="414"/>
      <c r="AV246" s="414"/>
      <c r="AW246" s="414"/>
      <c r="AX246" s="414"/>
      <c r="AY246" s="414"/>
      <c r="AZ246" s="414"/>
      <c r="BA246" s="414"/>
      <c r="BB246" s="414"/>
      <c r="BC246" s="414"/>
      <c r="BD246" s="414"/>
      <c r="BE246" s="414"/>
      <c r="BF246" s="414"/>
      <c r="BG246" s="414"/>
      <c r="BH246" s="414"/>
      <c r="BI246" s="414"/>
      <c r="BJ246" s="414"/>
      <c r="BK246" s="414"/>
      <c r="BL246" s="414"/>
      <c r="BM246" s="414"/>
      <c r="BN246" s="414"/>
      <c r="BO246" s="414"/>
      <c r="BP246" s="414"/>
      <c r="BQ246" s="414"/>
      <c r="BR246" s="414"/>
      <c r="BS246" s="414"/>
      <c r="BT246" s="414"/>
      <c r="BU246" s="414"/>
      <c r="BV246" s="414"/>
      <c r="BW246" s="414"/>
      <c r="BX246" s="414"/>
      <c r="BY246" s="414"/>
      <c r="BZ246" s="414"/>
      <c r="CA246" s="414"/>
      <c r="CB246" s="414"/>
    </row>
    <row r="247" spans="1:80" x14ac:dyDescent="0.25">
      <c r="A247" s="302">
        <v>592</v>
      </c>
      <c r="B247" s="412">
        <v>592</v>
      </c>
      <c r="C247" s="302" t="s">
        <v>376</v>
      </c>
      <c r="D247" s="302">
        <v>26239</v>
      </c>
      <c r="E247" s="413">
        <v>982219</v>
      </c>
      <c r="F247" s="413">
        <v>0</v>
      </c>
      <c r="G247" s="413">
        <v>822720</v>
      </c>
      <c r="H247" s="413">
        <v>2070</v>
      </c>
      <c r="I247" s="413">
        <v>0</v>
      </c>
      <c r="J247" s="413">
        <v>0</v>
      </c>
      <c r="K247" s="413">
        <v>-101053</v>
      </c>
      <c r="L247" s="413">
        <v>3253508</v>
      </c>
      <c r="M247" s="413">
        <v>3710037</v>
      </c>
      <c r="N247" s="413">
        <v>-115700</v>
      </c>
      <c r="O247" s="413">
        <v>-64265</v>
      </c>
      <c r="P247" s="413">
        <v>3990117</v>
      </c>
      <c r="Q247" s="413">
        <v>0</v>
      </c>
      <c r="R247" s="413">
        <v>0</v>
      </c>
      <c r="S247" s="413">
        <v>0</v>
      </c>
      <c r="T247" s="413">
        <v>0</v>
      </c>
      <c r="U247" s="413">
        <v>0</v>
      </c>
      <c r="V247" s="413">
        <v>-882127</v>
      </c>
      <c r="W247" s="413">
        <v>0</v>
      </c>
      <c r="X247" s="413">
        <v>20728</v>
      </c>
      <c r="Y247" s="413">
        <v>0</v>
      </c>
      <c r="Z247" s="413">
        <v>0</v>
      </c>
      <c r="AA247" s="413">
        <v>4539606</v>
      </c>
      <c r="AB247" s="413">
        <v>0</v>
      </c>
      <c r="AC247" s="413">
        <v>0</v>
      </c>
      <c r="AD247" s="413">
        <v>0</v>
      </c>
      <c r="AE247" s="413">
        <v>0</v>
      </c>
      <c r="AF247" s="413">
        <v>-1295187</v>
      </c>
      <c r="AG247" s="413">
        <v>0</v>
      </c>
      <c r="AH247" s="413">
        <v>93526</v>
      </c>
      <c r="AI247" s="413">
        <v>114392</v>
      </c>
      <c r="AJ247" s="413">
        <v>0</v>
      </c>
      <c r="AK247" s="413">
        <v>-6238850</v>
      </c>
      <c r="AL247" s="413">
        <v>0</v>
      </c>
      <c r="AM247" s="413">
        <v>0</v>
      </c>
      <c r="AN247" s="413">
        <v>0</v>
      </c>
      <c r="AO247" s="413">
        <v>0</v>
      </c>
      <c r="AP247" s="413">
        <v>0</v>
      </c>
      <c r="AQ247" s="413">
        <v>0</v>
      </c>
      <c r="AR247" s="413">
        <v>692441</v>
      </c>
      <c r="AS247" s="413">
        <v>358592</v>
      </c>
      <c r="AT247" s="413">
        <v>0</v>
      </c>
      <c r="AU247" s="413"/>
      <c r="AV247" s="413"/>
      <c r="AW247" s="413"/>
      <c r="AX247" s="413"/>
      <c r="AY247" s="413"/>
      <c r="AZ247" s="413"/>
      <c r="BA247" s="413"/>
      <c r="BB247" s="413"/>
      <c r="BC247" s="413"/>
      <c r="BD247" s="413"/>
      <c r="BE247" s="413"/>
      <c r="BF247" s="413"/>
      <c r="BG247" s="413"/>
      <c r="BH247" s="413"/>
      <c r="BI247" s="413"/>
      <c r="BJ247" s="413"/>
      <c r="BK247" s="413"/>
      <c r="BL247" s="413"/>
      <c r="BM247" s="413"/>
      <c r="BN247" s="413"/>
      <c r="BO247" s="413"/>
      <c r="BP247" s="413"/>
      <c r="BQ247" s="413"/>
      <c r="BR247" s="413"/>
      <c r="BS247" s="413"/>
      <c r="BT247" s="413"/>
      <c r="BU247" s="413"/>
      <c r="BV247" s="413"/>
      <c r="BW247" s="413"/>
      <c r="BX247" s="413"/>
      <c r="BY247" s="413"/>
      <c r="BZ247" s="413"/>
      <c r="CA247" s="413"/>
      <c r="CB247" s="413"/>
    </row>
    <row r="248" spans="1:80" x14ac:dyDescent="0.25">
      <c r="B248" s="302">
        <v>595</v>
      </c>
      <c r="C248" s="302" t="s">
        <v>1525</v>
      </c>
    </row>
    <row r="249" spans="1:80" x14ac:dyDescent="0.25">
      <c r="A249" s="302">
        <v>596</v>
      </c>
      <c r="B249" s="302">
        <v>596</v>
      </c>
      <c r="C249" s="302" t="s">
        <v>382</v>
      </c>
      <c r="D249" s="302">
        <v>0</v>
      </c>
      <c r="E249" s="302">
        <v>0</v>
      </c>
      <c r="F249" s="302">
        <v>0</v>
      </c>
      <c r="G249" s="302">
        <v>52</v>
      </c>
      <c r="H249" s="302">
        <v>52</v>
      </c>
      <c r="I249" s="302">
        <v>52</v>
      </c>
      <c r="J249" s="302">
        <v>52</v>
      </c>
      <c r="K249" s="302">
        <v>52</v>
      </c>
      <c r="L249" s="302">
        <v>0</v>
      </c>
      <c r="M249" s="302">
        <v>52</v>
      </c>
      <c r="N249" s="302">
        <v>0</v>
      </c>
      <c r="O249" s="302">
        <v>0</v>
      </c>
      <c r="P249" s="302">
        <v>52</v>
      </c>
      <c r="Q249" s="302">
        <v>52</v>
      </c>
      <c r="R249" s="302">
        <v>0</v>
      </c>
      <c r="S249" s="302">
        <v>52</v>
      </c>
      <c r="T249" s="302">
        <v>52</v>
      </c>
      <c r="U249" s="302">
        <v>52</v>
      </c>
      <c r="V249" s="302">
        <v>0</v>
      </c>
      <c r="W249" s="302">
        <v>52</v>
      </c>
      <c r="X249" s="302">
        <v>0</v>
      </c>
      <c r="Y249" s="302">
        <v>0</v>
      </c>
      <c r="Z249" s="302">
        <v>52</v>
      </c>
      <c r="AA249" s="302">
        <v>0</v>
      </c>
      <c r="AB249" s="302">
        <v>0</v>
      </c>
      <c r="AC249" s="302">
        <v>0</v>
      </c>
      <c r="AD249" s="302">
        <v>0</v>
      </c>
      <c r="AE249" s="302">
        <v>52</v>
      </c>
      <c r="AF249" s="302">
        <v>52</v>
      </c>
      <c r="AG249" s="302">
        <v>52</v>
      </c>
      <c r="AH249" s="302">
        <v>52</v>
      </c>
      <c r="AI249" s="302">
        <v>0</v>
      </c>
      <c r="AJ249" s="302">
        <v>52</v>
      </c>
      <c r="AK249" s="302">
        <v>0</v>
      </c>
      <c r="AL249" s="302">
        <v>0</v>
      </c>
      <c r="AM249" s="302">
        <v>0</v>
      </c>
      <c r="AN249" s="302">
        <v>52</v>
      </c>
      <c r="AO249" s="302">
        <v>0</v>
      </c>
      <c r="AP249" s="302">
        <v>0</v>
      </c>
      <c r="AQ249" s="302">
        <v>0</v>
      </c>
      <c r="AR249" s="302">
        <v>0</v>
      </c>
      <c r="AS249" s="302">
        <v>0</v>
      </c>
      <c r="AT249" s="302">
        <v>52</v>
      </c>
    </row>
    <row r="250" spans="1:80" x14ac:dyDescent="0.25">
      <c r="A250" s="302">
        <v>598</v>
      </c>
      <c r="B250" s="302">
        <v>598</v>
      </c>
      <c r="C250" s="302" t="s">
        <v>334</v>
      </c>
      <c r="D250" s="302">
        <v>0</v>
      </c>
      <c r="E250" s="302">
        <v>0</v>
      </c>
      <c r="F250" s="302">
        <v>0</v>
      </c>
      <c r="G250" s="302">
        <v>0</v>
      </c>
      <c r="H250" s="302">
        <v>0</v>
      </c>
      <c r="I250" s="302">
        <v>0</v>
      </c>
      <c r="J250" s="302">
        <v>0</v>
      </c>
      <c r="K250" s="302">
        <v>0</v>
      </c>
      <c r="L250" s="302">
        <v>0</v>
      </c>
      <c r="M250" s="302">
        <v>0</v>
      </c>
      <c r="N250" s="302">
        <v>0</v>
      </c>
      <c r="O250" s="302">
        <v>0</v>
      </c>
      <c r="P250" s="302">
        <v>0</v>
      </c>
      <c r="Q250" s="302">
        <v>601504</v>
      </c>
      <c r="R250" s="302">
        <v>0</v>
      </c>
      <c r="S250" s="302">
        <v>0</v>
      </c>
      <c r="T250" s="302">
        <v>0</v>
      </c>
      <c r="U250" s="302">
        <v>0</v>
      </c>
      <c r="V250" s="302">
        <v>0</v>
      </c>
      <c r="W250" s="302">
        <v>0</v>
      </c>
      <c r="X250" s="302">
        <v>0</v>
      </c>
      <c r="Y250" s="302">
        <v>0</v>
      </c>
      <c r="Z250" s="302">
        <v>0</v>
      </c>
      <c r="AA250" s="302">
        <v>0</v>
      </c>
      <c r="AB250" s="302">
        <v>0</v>
      </c>
      <c r="AC250" s="302">
        <v>0</v>
      </c>
      <c r="AD250" s="302">
        <v>0</v>
      </c>
      <c r="AE250" s="302">
        <v>0</v>
      </c>
      <c r="AF250" s="302">
        <v>0</v>
      </c>
      <c r="AG250" s="302">
        <v>0</v>
      </c>
      <c r="AH250" s="302">
        <v>0</v>
      </c>
      <c r="AI250" s="302">
        <v>0</v>
      </c>
      <c r="AJ250" s="302">
        <v>0</v>
      </c>
      <c r="AK250" s="302">
        <v>0</v>
      </c>
      <c r="AL250" s="302">
        <v>0</v>
      </c>
      <c r="AM250" s="302">
        <v>0</v>
      </c>
      <c r="AN250" s="302">
        <v>0</v>
      </c>
      <c r="AO250" s="302">
        <v>0</v>
      </c>
      <c r="AP250" s="302">
        <v>0</v>
      </c>
      <c r="AQ250" s="302">
        <v>0</v>
      </c>
      <c r="AR250" s="302">
        <v>0</v>
      </c>
      <c r="AS250" s="302">
        <v>0</v>
      </c>
      <c r="AT250" s="302">
        <v>0</v>
      </c>
    </row>
    <row r="251" spans="1:80" x14ac:dyDescent="0.25">
      <c r="A251" s="302">
        <v>599</v>
      </c>
      <c r="B251" s="302">
        <v>599</v>
      </c>
      <c r="C251" s="302" t="s">
        <v>1519</v>
      </c>
      <c r="D251" s="302">
        <v>0</v>
      </c>
      <c r="E251" s="302">
        <v>0</v>
      </c>
      <c r="F251" s="302">
        <v>0</v>
      </c>
      <c r="G251" s="302">
        <v>0</v>
      </c>
      <c r="H251" s="302">
        <v>0</v>
      </c>
      <c r="I251" s="302">
        <v>0</v>
      </c>
      <c r="J251" s="302">
        <v>0</v>
      </c>
      <c r="K251" s="302">
        <v>0</v>
      </c>
      <c r="L251" s="302">
        <v>0</v>
      </c>
      <c r="M251" s="302">
        <v>0</v>
      </c>
      <c r="N251" s="302">
        <v>0</v>
      </c>
      <c r="O251" s="302">
        <v>0</v>
      </c>
      <c r="P251" s="302">
        <v>0</v>
      </c>
      <c r="Q251" s="302">
        <v>0</v>
      </c>
      <c r="R251" s="302">
        <v>0</v>
      </c>
      <c r="S251" s="302">
        <v>0</v>
      </c>
      <c r="T251" s="302">
        <v>0</v>
      </c>
      <c r="U251" s="302">
        <v>0</v>
      </c>
      <c r="V251" s="302">
        <v>0</v>
      </c>
      <c r="W251" s="302">
        <v>0</v>
      </c>
      <c r="X251" s="302">
        <v>0</v>
      </c>
      <c r="Y251" s="302">
        <v>0</v>
      </c>
      <c r="Z251" s="302">
        <v>0</v>
      </c>
      <c r="AA251" s="302">
        <v>0</v>
      </c>
      <c r="AB251" s="302">
        <v>0</v>
      </c>
      <c r="AC251" s="302">
        <v>0</v>
      </c>
      <c r="AD251" s="302">
        <v>0</v>
      </c>
      <c r="AE251" s="302">
        <v>0</v>
      </c>
      <c r="AF251" s="302">
        <v>0</v>
      </c>
      <c r="AG251" s="302">
        <v>0</v>
      </c>
      <c r="AH251" s="302">
        <v>0</v>
      </c>
      <c r="AI251" s="302">
        <v>0</v>
      </c>
      <c r="AJ251" s="302">
        <v>0</v>
      </c>
      <c r="AK251" s="302">
        <v>0</v>
      </c>
      <c r="AL251" s="302">
        <v>0</v>
      </c>
      <c r="AM251" s="302">
        <v>0</v>
      </c>
      <c r="AN251" s="302">
        <v>0</v>
      </c>
      <c r="AO251" s="302">
        <v>0</v>
      </c>
      <c r="AP251" s="302">
        <v>0</v>
      </c>
      <c r="AQ251" s="302">
        <v>0</v>
      </c>
      <c r="AR251" s="302">
        <v>0</v>
      </c>
      <c r="AS251" s="302">
        <v>0</v>
      </c>
      <c r="AT251" s="302">
        <v>0</v>
      </c>
    </row>
    <row r="252" spans="1:80" x14ac:dyDescent="0.25">
      <c r="B252" s="302">
        <v>600</v>
      </c>
      <c r="C252" s="302" t="s">
        <v>579</v>
      </c>
    </row>
    <row r="253" spans="1:80" x14ac:dyDescent="0.25">
      <c r="B253" s="302">
        <v>601</v>
      </c>
      <c r="C253" s="302" t="s">
        <v>580</v>
      </c>
    </row>
    <row r="254" spans="1:80" x14ac:dyDescent="0.25">
      <c r="A254" s="302">
        <v>602</v>
      </c>
      <c r="B254" s="302">
        <v>602</v>
      </c>
      <c r="C254" s="302" t="s">
        <v>336</v>
      </c>
      <c r="D254" s="302">
        <v>0</v>
      </c>
      <c r="E254" s="302">
        <v>0</v>
      </c>
      <c r="F254" s="302">
        <v>0</v>
      </c>
      <c r="G254" s="302">
        <v>0</v>
      </c>
      <c r="H254" s="302">
        <v>0</v>
      </c>
      <c r="I254" s="302">
        <v>0</v>
      </c>
      <c r="J254" s="302">
        <v>0</v>
      </c>
      <c r="K254" s="302">
        <v>0</v>
      </c>
      <c r="L254" s="302">
        <v>0</v>
      </c>
      <c r="M254" s="302">
        <v>0</v>
      </c>
      <c r="N254" s="302">
        <v>0</v>
      </c>
      <c r="O254" s="302">
        <v>0</v>
      </c>
      <c r="P254" s="302">
        <v>0</v>
      </c>
      <c r="Q254" s="302">
        <v>0</v>
      </c>
      <c r="R254" s="302">
        <v>0</v>
      </c>
      <c r="S254" s="302">
        <v>0</v>
      </c>
      <c r="T254" s="302">
        <v>0</v>
      </c>
      <c r="U254" s="302">
        <v>0</v>
      </c>
      <c r="V254" s="302">
        <v>0</v>
      </c>
      <c r="W254" s="302">
        <v>0</v>
      </c>
      <c r="X254" s="302">
        <v>0</v>
      </c>
      <c r="Y254" s="302">
        <v>0</v>
      </c>
      <c r="Z254" s="302">
        <v>0</v>
      </c>
      <c r="AA254" s="302">
        <v>0</v>
      </c>
      <c r="AB254" s="302">
        <v>0</v>
      </c>
      <c r="AC254" s="302">
        <v>0</v>
      </c>
      <c r="AD254" s="302">
        <v>0</v>
      </c>
      <c r="AE254" s="302">
        <v>0</v>
      </c>
      <c r="AF254" s="302">
        <v>0</v>
      </c>
      <c r="AG254" s="302">
        <v>0</v>
      </c>
      <c r="AH254" s="302">
        <v>0</v>
      </c>
      <c r="AI254" s="302">
        <v>0</v>
      </c>
      <c r="AJ254" s="302">
        <v>0</v>
      </c>
      <c r="AK254" s="302">
        <v>0</v>
      </c>
      <c r="AL254" s="302">
        <v>0</v>
      </c>
      <c r="AM254" s="302">
        <v>0</v>
      </c>
      <c r="AN254" s="302">
        <v>0</v>
      </c>
      <c r="AO254" s="302">
        <v>0</v>
      </c>
      <c r="AP254" s="302">
        <v>0</v>
      </c>
      <c r="AQ254" s="302">
        <v>0</v>
      </c>
      <c r="AR254" s="302">
        <v>0</v>
      </c>
      <c r="AS254" s="302">
        <v>0</v>
      </c>
      <c r="AT254" s="302">
        <v>0</v>
      </c>
    </row>
    <row r="255" spans="1:80" x14ac:dyDescent="0.25">
      <c r="A255" s="302">
        <v>603</v>
      </c>
      <c r="B255" s="302">
        <v>603</v>
      </c>
      <c r="C255" s="302" t="s">
        <v>430</v>
      </c>
      <c r="D255" s="302">
        <v>1</v>
      </c>
      <c r="E255" s="302">
        <v>1</v>
      </c>
      <c r="F255" s="302">
        <v>1</v>
      </c>
      <c r="G255" s="302">
        <v>1</v>
      </c>
      <c r="H255" s="302">
        <v>2</v>
      </c>
      <c r="I255" s="302">
        <v>1</v>
      </c>
      <c r="J255" s="302">
        <v>1</v>
      </c>
      <c r="K255" s="302">
        <v>1</v>
      </c>
      <c r="L255" s="302">
        <v>2</v>
      </c>
      <c r="M255" s="302">
        <v>1</v>
      </c>
      <c r="N255" s="302">
        <v>1</v>
      </c>
      <c r="O255" s="302">
        <v>1</v>
      </c>
      <c r="P255" s="302">
        <v>1</v>
      </c>
      <c r="Q255" s="302">
        <v>0</v>
      </c>
      <c r="R255" s="302">
        <v>2</v>
      </c>
      <c r="S255" s="302">
        <v>1</v>
      </c>
      <c r="T255" s="302">
        <v>2</v>
      </c>
      <c r="U255" s="302">
        <v>1</v>
      </c>
      <c r="V255" s="302">
        <v>2</v>
      </c>
      <c r="W255" s="302">
        <v>1</v>
      </c>
      <c r="X255" s="302">
        <v>1</v>
      </c>
      <c r="Y255" s="302">
        <v>1</v>
      </c>
      <c r="Z255" s="302">
        <v>2</v>
      </c>
      <c r="AA255" s="302">
        <v>1</v>
      </c>
      <c r="AB255" s="302">
        <v>1</v>
      </c>
      <c r="AC255" s="302">
        <v>1</v>
      </c>
      <c r="AD255" s="302">
        <v>4</v>
      </c>
      <c r="AE255" s="302">
        <v>1</v>
      </c>
      <c r="AF255" s="302">
        <v>1</v>
      </c>
      <c r="AG255" s="302">
        <v>2</v>
      </c>
      <c r="AH255" s="302">
        <v>1</v>
      </c>
      <c r="AI255" s="302">
        <v>1</v>
      </c>
      <c r="AJ255" s="302">
        <v>2</v>
      </c>
      <c r="AK255" s="302">
        <v>1</v>
      </c>
      <c r="AL255" s="302">
        <v>2</v>
      </c>
      <c r="AM255" s="302">
        <v>4</v>
      </c>
      <c r="AN255" s="302">
        <v>1</v>
      </c>
      <c r="AO255" s="302">
        <v>1</v>
      </c>
      <c r="AP255" s="302">
        <v>1</v>
      </c>
      <c r="AQ255" s="302">
        <v>1</v>
      </c>
      <c r="AR255" s="302">
        <v>1</v>
      </c>
      <c r="AS255" s="302">
        <v>3</v>
      </c>
      <c r="AT255" s="302">
        <v>1</v>
      </c>
    </row>
    <row r="256" spans="1:80" x14ac:dyDescent="0.25">
      <c r="B256" s="302">
        <v>604</v>
      </c>
      <c r="C256" s="302" t="s">
        <v>431</v>
      </c>
    </row>
    <row r="257" spans="1:80" x14ac:dyDescent="0.25">
      <c r="A257" s="302">
        <v>605</v>
      </c>
      <c r="B257" s="302">
        <v>605</v>
      </c>
      <c r="C257" s="302" t="s">
        <v>433</v>
      </c>
      <c r="D257" s="302">
        <v>1</v>
      </c>
      <c r="E257" s="302">
        <v>1</v>
      </c>
      <c r="F257" s="302">
        <v>1</v>
      </c>
      <c r="G257" s="302">
        <v>1</v>
      </c>
      <c r="H257" s="302">
        <v>1</v>
      </c>
      <c r="I257" s="302">
        <v>1</v>
      </c>
      <c r="J257" s="302">
        <v>1</v>
      </c>
      <c r="K257" s="302">
        <v>1</v>
      </c>
      <c r="L257" s="302">
        <v>1</v>
      </c>
      <c r="M257" s="302">
        <v>1</v>
      </c>
      <c r="N257" s="302">
        <v>1</v>
      </c>
      <c r="O257" s="302">
        <v>1</v>
      </c>
      <c r="P257" s="302">
        <v>1</v>
      </c>
      <c r="Q257" s="302">
        <v>0</v>
      </c>
      <c r="R257" s="302">
        <v>1</v>
      </c>
      <c r="S257" s="302">
        <v>1</v>
      </c>
      <c r="T257" s="302">
        <v>1</v>
      </c>
      <c r="U257" s="302">
        <v>1</v>
      </c>
      <c r="V257" s="302">
        <v>1</v>
      </c>
      <c r="W257" s="302">
        <v>1</v>
      </c>
      <c r="X257" s="302">
        <v>1</v>
      </c>
      <c r="Y257" s="302">
        <v>1</v>
      </c>
      <c r="Z257" s="302">
        <v>1</v>
      </c>
      <c r="AA257" s="302">
        <v>1</v>
      </c>
      <c r="AB257" s="302">
        <v>1</v>
      </c>
      <c r="AC257" s="302">
        <v>1</v>
      </c>
      <c r="AD257" s="302">
        <v>1</v>
      </c>
      <c r="AE257" s="302">
        <v>1</v>
      </c>
      <c r="AF257" s="302">
        <v>1</v>
      </c>
      <c r="AG257" s="302">
        <v>1</v>
      </c>
      <c r="AH257" s="302">
        <v>1</v>
      </c>
      <c r="AI257" s="302">
        <v>1</v>
      </c>
      <c r="AJ257" s="302">
        <v>1</v>
      </c>
      <c r="AK257" s="302">
        <v>1</v>
      </c>
      <c r="AL257" s="302">
        <v>1</v>
      </c>
      <c r="AM257" s="302">
        <v>1</v>
      </c>
      <c r="AN257" s="302">
        <v>1</v>
      </c>
      <c r="AO257" s="302">
        <v>1</v>
      </c>
      <c r="AP257" s="302">
        <v>1</v>
      </c>
      <c r="AQ257" s="302">
        <v>1</v>
      </c>
      <c r="AR257" s="302">
        <v>1</v>
      </c>
      <c r="AS257" s="302">
        <v>1</v>
      </c>
      <c r="AT257" s="302">
        <v>1</v>
      </c>
    </row>
    <row r="258" spans="1:80" x14ac:dyDescent="0.25">
      <c r="A258" s="302">
        <v>606</v>
      </c>
      <c r="B258" s="302">
        <v>606</v>
      </c>
      <c r="C258" s="302" t="s">
        <v>445</v>
      </c>
      <c r="D258" s="302">
        <v>1</v>
      </c>
      <c r="E258" s="302">
        <v>0</v>
      </c>
      <c r="F258" s="302">
        <v>0</v>
      </c>
      <c r="G258" s="302">
        <v>1</v>
      </c>
      <c r="H258" s="302">
        <v>0</v>
      </c>
      <c r="I258" s="302">
        <v>0</v>
      </c>
      <c r="J258" s="302">
        <v>0</v>
      </c>
      <c r="K258" s="302">
        <v>0</v>
      </c>
      <c r="L258" s="302">
        <v>1</v>
      </c>
      <c r="M258" s="302">
        <v>0</v>
      </c>
      <c r="N258" s="302">
        <v>0</v>
      </c>
      <c r="O258" s="302">
        <v>0</v>
      </c>
      <c r="P258" s="302">
        <v>0</v>
      </c>
      <c r="Q258" s="302">
        <v>0</v>
      </c>
      <c r="R258" s="302">
        <v>0</v>
      </c>
      <c r="S258" s="302">
        <v>0</v>
      </c>
      <c r="T258" s="302">
        <v>0</v>
      </c>
      <c r="U258" s="302">
        <v>0</v>
      </c>
      <c r="V258" s="302">
        <v>0</v>
      </c>
      <c r="W258" s="302">
        <v>0</v>
      </c>
      <c r="X258" s="302">
        <v>1</v>
      </c>
      <c r="Y258" s="302">
        <v>0</v>
      </c>
      <c r="Z258" s="302">
        <v>0</v>
      </c>
      <c r="AA258" s="302">
        <v>1</v>
      </c>
      <c r="AB258" s="302">
        <v>0</v>
      </c>
      <c r="AC258" s="302">
        <v>0</v>
      </c>
      <c r="AD258" s="302">
        <v>0</v>
      </c>
      <c r="AE258" s="302">
        <v>0</v>
      </c>
      <c r="AF258" s="302">
        <v>0</v>
      </c>
      <c r="AG258" s="302">
        <v>0</v>
      </c>
      <c r="AH258" s="302">
        <v>0</v>
      </c>
      <c r="AI258" s="302">
        <v>1</v>
      </c>
      <c r="AJ258" s="302">
        <v>0</v>
      </c>
      <c r="AK258" s="302">
        <v>1</v>
      </c>
      <c r="AL258" s="302">
        <v>0</v>
      </c>
      <c r="AM258" s="302">
        <v>0</v>
      </c>
      <c r="AN258" s="302">
        <v>0</v>
      </c>
      <c r="AO258" s="302">
        <v>0</v>
      </c>
      <c r="AP258" s="302">
        <v>0</v>
      </c>
      <c r="AQ258" s="302">
        <v>0</v>
      </c>
      <c r="AR258" s="302">
        <v>1</v>
      </c>
      <c r="AS258" s="302">
        <v>0</v>
      </c>
      <c r="AT258" s="302">
        <v>0</v>
      </c>
    </row>
    <row r="259" spans="1:80" x14ac:dyDescent="0.25">
      <c r="A259" s="302">
        <v>607</v>
      </c>
      <c r="B259" s="302">
        <v>607</v>
      </c>
      <c r="C259" s="302" t="s">
        <v>423</v>
      </c>
      <c r="D259" s="302">
        <v>0</v>
      </c>
      <c r="E259" s="302">
        <v>1335209</v>
      </c>
      <c r="F259" s="302">
        <v>0</v>
      </c>
      <c r="G259" s="302">
        <v>0</v>
      </c>
      <c r="H259" s="302">
        <v>0</v>
      </c>
      <c r="I259" s="302">
        <v>0</v>
      </c>
      <c r="J259" s="302">
        <v>1777379</v>
      </c>
      <c r="K259" s="302">
        <v>0</v>
      </c>
      <c r="L259" s="302">
        <v>0</v>
      </c>
      <c r="M259" s="302">
        <v>0</v>
      </c>
      <c r="N259" s="302">
        <v>720894</v>
      </c>
      <c r="O259" s="302">
        <v>0</v>
      </c>
      <c r="P259" s="302">
        <v>0</v>
      </c>
      <c r="Q259" s="302">
        <v>0</v>
      </c>
      <c r="R259" s="302">
        <v>0</v>
      </c>
      <c r="S259" s="302">
        <v>0</v>
      </c>
      <c r="T259" s="302">
        <v>0</v>
      </c>
      <c r="U259" s="302">
        <v>0</v>
      </c>
      <c r="V259" s="302">
        <v>4478064</v>
      </c>
      <c r="W259" s="302">
        <v>0</v>
      </c>
      <c r="X259" s="302">
        <v>0</v>
      </c>
      <c r="Y259" s="302">
        <v>0</v>
      </c>
      <c r="Z259" s="302">
        <v>0</v>
      </c>
      <c r="AA259" s="302">
        <v>0</v>
      </c>
      <c r="AB259" s="302">
        <v>0</v>
      </c>
      <c r="AC259" s="302">
        <v>0</v>
      </c>
      <c r="AD259" s="302">
        <v>0</v>
      </c>
      <c r="AE259" s="302">
        <v>54407443</v>
      </c>
      <c r="AF259" s="302">
        <v>0</v>
      </c>
      <c r="AG259" s="302">
        <v>0</v>
      </c>
      <c r="AH259" s="302">
        <v>0</v>
      </c>
      <c r="AI259" s="302">
        <v>0</v>
      </c>
      <c r="AJ259" s="302">
        <v>0</v>
      </c>
      <c r="AK259" s="302">
        <v>3103518</v>
      </c>
      <c r="AL259" s="302">
        <v>0</v>
      </c>
      <c r="AM259" s="302">
        <v>0</v>
      </c>
      <c r="AN259" s="302">
        <v>0</v>
      </c>
      <c r="AO259" s="302">
        <v>0</v>
      </c>
      <c r="AP259" s="302">
        <v>0</v>
      </c>
      <c r="AQ259" s="302">
        <v>0</v>
      </c>
      <c r="AR259" s="302">
        <v>0</v>
      </c>
      <c r="AS259" s="302">
        <v>0</v>
      </c>
      <c r="AT259" s="302">
        <v>0</v>
      </c>
    </row>
    <row r="260" spans="1:80" x14ac:dyDescent="0.25">
      <c r="A260" s="302">
        <v>608</v>
      </c>
      <c r="B260" s="302">
        <v>608</v>
      </c>
      <c r="C260" s="302" t="s">
        <v>424</v>
      </c>
      <c r="D260" s="302">
        <v>0</v>
      </c>
      <c r="E260" s="302">
        <v>0</v>
      </c>
      <c r="F260" s="302">
        <v>0</v>
      </c>
      <c r="G260" s="302">
        <v>0</v>
      </c>
      <c r="H260" s="302">
        <v>0</v>
      </c>
      <c r="I260" s="302">
        <v>0</v>
      </c>
      <c r="J260" s="302">
        <v>0</v>
      </c>
      <c r="K260" s="302">
        <v>0</v>
      </c>
      <c r="L260" s="302">
        <v>0</v>
      </c>
      <c r="M260" s="302">
        <v>0</v>
      </c>
      <c r="N260" s="302">
        <v>0</v>
      </c>
      <c r="O260" s="302">
        <v>0</v>
      </c>
      <c r="P260" s="302">
        <v>0</v>
      </c>
      <c r="Q260" s="302">
        <v>0</v>
      </c>
      <c r="R260" s="302">
        <v>0</v>
      </c>
      <c r="S260" s="302">
        <v>0</v>
      </c>
      <c r="T260" s="302">
        <v>0</v>
      </c>
      <c r="U260" s="302">
        <v>0</v>
      </c>
      <c r="V260" s="302">
        <v>4190142</v>
      </c>
      <c r="W260" s="302">
        <v>0</v>
      </c>
      <c r="X260" s="302">
        <v>0</v>
      </c>
      <c r="Y260" s="302">
        <v>0</v>
      </c>
      <c r="Z260" s="302">
        <v>0</v>
      </c>
      <c r="AA260" s="302">
        <v>0</v>
      </c>
      <c r="AB260" s="302">
        <v>0</v>
      </c>
      <c r="AC260" s="302">
        <v>0</v>
      </c>
      <c r="AD260" s="302">
        <v>0</v>
      </c>
      <c r="AE260" s="302">
        <v>0</v>
      </c>
      <c r="AF260" s="302">
        <v>0</v>
      </c>
      <c r="AG260" s="302">
        <v>0</v>
      </c>
      <c r="AH260" s="302">
        <v>0</v>
      </c>
      <c r="AI260" s="302">
        <v>0</v>
      </c>
      <c r="AJ260" s="302">
        <v>0</v>
      </c>
      <c r="AK260" s="302">
        <v>0</v>
      </c>
      <c r="AL260" s="302">
        <v>0</v>
      </c>
      <c r="AM260" s="302">
        <v>0</v>
      </c>
      <c r="AN260" s="302">
        <v>0</v>
      </c>
      <c r="AO260" s="302">
        <v>0</v>
      </c>
      <c r="AP260" s="302">
        <v>0</v>
      </c>
      <c r="AQ260" s="302">
        <v>0</v>
      </c>
      <c r="AR260" s="302">
        <v>0</v>
      </c>
      <c r="AS260" s="302">
        <v>0</v>
      </c>
      <c r="AT260" s="302">
        <v>0</v>
      </c>
    </row>
    <row r="261" spans="1:80" x14ac:dyDescent="0.25">
      <c r="A261" s="302">
        <v>609</v>
      </c>
      <c r="B261" s="302">
        <v>609</v>
      </c>
      <c r="C261" s="302" t="s">
        <v>1526</v>
      </c>
      <c r="D261" s="302">
        <v>0</v>
      </c>
      <c r="E261" s="302">
        <v>0</v>
      </c>
      <c r="F261" s="302">
        <v>0</v>
      </c>
      <c r="G261" s="302">
        <v>0</v>
      </c>
      <c r="H261" s="302">
        <v>0</v>
      </c>
      <c r="I261" s="302">
        <v>0</v>
      </c>
      <c r="J261" s="302">
        <v>0</v>
      </c>
      <c r="K261" s="302">
        <v>0</v>
      </c>
      <c r="L261" s="302">
        <v>0</v>
      </c>
      <c r="M261" s="302">
        <v>0</v>
      </c>
      <c r="N261" s="302">
        <v>0</v>
      </c>
      <c r="O261" s="302">
        <v>0</v>
      </c>
      <c r="P261" s="302">
        <v>0</v>
      </c>
      <c r="Q261" s="302">
        <v>0</v>
      </c>
      <c r="R261" s="302">
        <v>0</v>
      </c>
      <c r="S261" s="302">
        <v>0</v>
      </c>
      <c r="T261" s="302">
        <v>0</v>
      </c>
      <c r="U261" s="302">
        <v>0</v>
      </c>
      <c r="V261" s="302">
        <v>93.6</v>
      </c>
      <c r="W261" s="302">
        <v>0</v>
      </c>
      <c r="X261" s="302">
        <v>0</v>
      </c>
      <c r="Y261" s="302">
        <v>0</v>
      </c>
      <c r="Z261" s="302">
        <v>0</v>
      </c>
      <c r="AA261" s="302">
        <v>0</v>
      </c>
      <c r="AB261" s="302">
        <v>0</v>
      </c>
      <c r="AC261" s="302">
        <v>0</v>
      </c>
      <c r="AD261" s="302">
        <v>0</v>
      </c>
      <c r="AE261" s="302">
        <v>0</v>
      </c>
      <c r="AF261" s="302">
        <v>0</v>
      </c>
      <c r="AG261" s="302">
        <v>0</v>
      </c>
      <c r="AH261" s="302">
        <v>0</v>
      </c>
      <c r="AI261" s="302">
        <v>0</v>
      </c>
      <c r="AJ261" s="302">
        <v>0</v>
      </c>
      <c r="AK261" s="302">
        <v>0</v>
      </c>
      <c r="AL261" s="302">
        <v>0</v>
      </c>
      <c r="AM261" s="302">
        <v>0</v>
      </c>
      <c r="AN261" s="302">
        <v>0</v>
      </c>
      <c r="AO261" s="302">
        <v>0</v>
      </c>
      <c r="AP261" s="302">
        <v>0</v>
      </c>
      <c r="AQ261" s="302">
        <v>0</v>
      </c>
      <c r="AR261" s="302">
        <v>0</v>
      </c>
      <c r="AS261" s="302">
        <v>0</v>
      </c>
      <c r="AT261" s="302">
        <v>0</v>
      </c>
    </row>
    <row r="262" spans="1:80" x14ac:dyDescent="0.25">
      <c r="A262" s="302">
        <v>610</v>
      </c>
      <c r="B262" s="302">
        <v>610</v>
      </c>
      <c r="C262" s="302" t="s">
        <v>425</v>
      </c>
      <c r="D262" s="302">
        <v>0</v>
      </c>
      <c r="E262" s="302">
        <v>0</v>
      </c>
      <c r="F262" s="302">
        <v>0</v>
      </c>
      <c r="G262" s="302">
        <v>0</v>
      </c>
      <c r="H262" s="302">
        <v>0</v>
      </c>
      <c r="I262" s="302">
        <v>0</v>
      </c>
      <c r="J262" s="302">
        <v>0</v>
      </c>
      <c r="K262" s="302">
        <v>0</v>
      </c>
      <c r="L262" s="302">
        <v>0</v>
      </c>
      <c r="M262" s="302">
        <v>0</v>
      </c>
      <c r="N262" s="302">
        <v>0</v>
      </c>
      <c r="O262" s="302">
        <v>0</v>
      </c>
      <c r="P262" s="302">
        <v>0</v>
      </c>
      <c r="Q262" s="302">
        <v>0</v>
      </c>
      <c r="R262" s="302">
        <v>0</v>
      </c>
      <c r="S262" s="302">
        <v>0</v>
      </c>
      <c r="T262" s="302">
        <v>0</v>
      </c>
      <c r="U262" s="302">
        <v>0</v>
      </c>
      <c r="V262" s="302">
        <v>0</v>
      </c>
      <c r="W262" s="302">
        <v>0</v>
      </c>
      <c r="X262" s="302">
        <v>0</v>
      </c>
      <c r="Y262" s="302">
        <v>0</v>
      </c>
      <c r="Z262" s="302">
        <v>0</v>
      </c>
      <c r="AA262" s="302">
        <v>0</v>
      </c>
      <c r="AB262" s="302">
        <v>0</v>
      </c>
      <c r="AC262" s="302">
        <v>0</v>
      </c>
      <c r="AD262" s="302">
        <v>0</v>
      </c>
      <c r="AE262" s="302">
        <v>0</v>
      </c>
      <c r="AF262" s="302">
        <v>0</v>
      </c>
      <c r="AG262" s="302">
        <v>0</v>
      </c>
      <c r="AH262" s="302">
        <v>0</v>
      </c>
      <c r="AI262" s="302">
        <v>0</v>
      </c>
      <c r="AJ262" s="302">
        <v>0</v>
      </c>
      <c r="AK262" s="302">
        <v>0</v>
      </c>
      <c r="AL262" s="302">
        <v>0</v>
      </c>
      <c r="AM262" s="302">
        <v>0</v>
      </c>
      <c r="AN262" s="302">
        <v>0</v>
      </c>
      <c r="AO262" s="302">
        <v>0</v>
      </c>
      <c r="AP262" s="302">
        <v>0</v>
      </c>
      <c r="AQ262" s="302">
        <v>0</v>
      </c>
      <c r="AR262" s="302">
        <v>0</v>
      </c>
      <c r="AS262" s="302">
        <v>0</v>
      </c>
      <c r="AT262" s="302">
        <v>0</v>
      </c>
    </row>
    <row r="263" spans="1:80" x14ac:dyDescent="0.25">
      <c r="A263" s="302">
        <v>611</v>
      </c>
      <c r="B263" s="302">
        <v>611</v>
      </c>
      <c r="C263" s="302" t="s">
        <v>426</v>
      </c>
      <c r="D263" s="302">
        <v>0</v>
      </c>
      <c r="E263" s="302">
        <v>0</v>
      </c>
      <c r="F263" s="302">
        <v>0</v>
      </c>
      <c r="G263" s="302">
        <v>0</v>
      </c>
      <c r="H263" s="302">
        <v>0</v>
      </c>
      <c r="I263" s="302">
        <v>0</v>
      </c>
      <c r="J263" s="302">
        <v>0</v>
      </c>
      <c r="K263" s="302">
        <v>0</v>
      </c>
      <c r="L263" s="302">
        <v>0</v>
      </c>
      <c r="M263" s="302">
        <v>0</v>
      </c>
      <c r="N263" s="302">
        <v>0</v>
      </c>
      <c r="O263" s="302">
        <v>0</v>
      </c>
      <c r="P263" s="302">
        <v>0</v>
      </c>
      <c r="Q263" s="302">
        <v>0</v>
      </c>
      <c r="R263" s="302">
        <v>0</v>
      </c>
      <c r="S263" s="302">
        <v>0</v>
      </c>
      <c r="T263" s="302">
        <v>0</v>
      </c>
      <c r="U263" s="302">
        <v>0</v>
      </c>
      <c r="V263" s="302">
        <v>0</v>
      </c>
      <c r="W263" s="302">
        <v>0</v>
      </c>
      <c r="X263" s="302">
        <v>0</v>
      </c>
      <c r="Y263" s="302">
        <v>0</v>
      </c>
      <c r="Z263" s="302">
        <v>0</v>
      </c>
      <c r="AA263" s="302">
        <v>0</v>
      </c>
      <c r="AB263" s="302">
        <v>0</v>
      </c>
      <c r="AC263" s="302">
        <v>0</v>
      </c>
      <c r="AD263" s="302">
        <v>0</v>
      </c>
      <c r="AE263" s="302">
        <v>0</v>
      </c>
      <c r="AF263" s="302">
        <v>0</v>
      </c>
      <c r="AG263" s="302">
        <v>0</v>
      </c>
      <c r="AH263" s="302">
        <v>0</v>
      </c>
      <c r="AI263" s="302">
        <v>0</v>
      </c>
      <c r="AJ263" s="302">
        <v>0</v>
      </c>
      <c r="AK263" s="302">
        <v>0</v>
      </c>
      <c r="AL263" s="302">
        <v>0</v>
      </c>
      <c r="AM263" s="302">
        <v>0</v>
      </c>
      <c r="AN263" s="302">
        <v>0</v>
      </c>
      <c r="AO263" s="302">
        <v>0</v>
      </c>
      <c r="AP263" s="302">
        <v>0</v>
      </c>
      <c r="AQ263" s="302">
        <v>0</v>
      </c>
      <c r="AR263" s="302">
        <v>0</v>
      </c>
      <c r="AS263" s="302">
        <v>0</v>
      </c>
      <c r="AT263" s="302">
        <v>0</v>
      </c>
    </row>
    <row r="264" spans="1:80" x14ac:dyDescent="0.25">
      <c r="A264" s="302">
        <v>612</v>
      </c>
      <c r="B264" s="302">
        <v>612</v>
      </c>
      <c r="C264" s="302" t="s">
        <v>1527</v>
      </c>
      <c r="D264" s="302">
        <v>0</v>
      </c>
      <c r="E264" s="302">
        <v>0</v>
      </c>
      <c r="F264" s="302">
        <v>0</v>
      </c>
      <c r="G264" s="302">
        <v>0</v>
      </c>
      <c r="H264" s="302">
        <v>0</v>
      </c>
      <c r="I264" s="302">
        <v>0</v>
      </c>
      <c r="J264" s="302">
        <v>0</v>
      </c>
      <c r="K264" s="302">
        <v>0</v>
      </c>
      <c r="L264" s="302">
        <v>0</v>
      </c>
      <c r="M264" s="302">
        <v>0</v>
      </c>
      <c r="N264" s="302">
        <v>0</v>
      </c>
      <c r="O264" s="302">
        <v>0</v>
      </c>
      <c r="P264" s="302">
        <v>0</v>
      </c>
      <c r="Q264" s="302">
        <v>0</v>
      </c>
      <c r="R264" s="302">
        <v>0</v>
      </c>
      <c r="S264" s="302">
        <v>0</v>
      </c>
      <c r="T264" s="302">
        <v>0</v>
      </c>
      <c r="U264" s="302">
        <v>0</v>
      </c>
      <c r="V264" s="302">
        <v>0</v>
      </c>
      <c r="W264" s="302">
        <v>0</v>
      </c>
      <c r="X264" s="302">
        <v>0</v>
      </c>
      <c r="Y264" s="302">
        <v>0</v>
      </c>
      <c r="Z264" s="302">
        <v>0</v>
      </c>
      <c r="AA264" s="302">
        <v>0</v>
      </c>
      <c r="AB264" s="302">
        <v>0</v>
      </c>
      <c r="AC264" s="302">
        <v>0</v>
      </c>
      <c r="AD264" s="302">
        <v>0</v>
      </c>
      <c r="AE264" s="302">
        <v>0</v>
      </c>
      <c r="AF264" s="302">
        <v>0</v>
      </c>
      <c r="AG264" s="302">
        <v>0</v>
      </c>
      <c r="AH264" s="302">
        <v>0</v>
      </c>
      <c r="AI264" s="302">
        <v>0</v>
      </c>
      <c r="AJ264" s="302">
        <v>0</v>
      </c>
      <c r="AK264" s="302">
        <v>0</v>
      </c>
      <c r="AL264" s="302">
        <v>0</v>
      </c>
      <c r="AM264" s="302">
        <v>0</v>
      </c>
      <c r="AN264" s="302">
        <v>0</v>
      </c>
      <c r="AO264" s="302">
        <v>0</v>
      </c>
      <c r="AP264" s="302">
        <v>0</v>
      </c>
      <c r="AQ264" s="302">
        <v>0</v>
      </c>
      <c r="AR264" s="302">
        <v>0</v>
      </c>
      <c r="AS264" s="302">
        <v>0</v>
      </c>
      <c r="AT264" s="302">
        <v>0</v>
      </c>
    </row>
    <row r="265" spans="1:80" x14ac:dyDescent="0.25">
      <c r="A265" s="302">
        <v>613</v>
      </c>
      <c r="B265" s="302">
        <v>613</v>
      </c>
      <c r="C265" s="302" t="s">
        <v>434</v>
      </c>
      <c r="D265" s="302">
        <v>0</v>
      </c>
      <c r="E265" s="302">
        <v>0</v>
      </c>
      <c r="F265" s="302">
        <v>0</v>
      </c>
      <c r="G265" s="302">
        <v>0</v>
      </c>
      <c r="H265" s="302">
        <v>0</v>
      </c>
      <c r="I265" s="302">
        <v>0</v>
      </c>
      <c r="J265" s="302">
        <v>0</v>
      </c>
      <c r="K265" s="302">
        <v>0</v>
      </c>
      <c r="L265" s="302">
        <v>0</v>
      </c>
      <c r="M265" s="302">
        <v>0</v>
      </c>
      <c r="N265" s="302">
        <v>0</v>
      </c>
      <c r="O265" s="302">
        <v>0</v>
      </c>
      <c r="P265" s="302">
        <v>0</v>
      </c>
      <c r="Q265" s="302">
        <v>0</v>
      </c>
      <c r="R265" s="302">
        <v>0</v>
      </c>
      <c r="S265" s="302">
        <v>0</v>
      </c>
      <c r="T265" s="302">
        <v>0</v>
      </c>
      <c r="U265" s="302">
        <v>0</v>
      </c>
      <c r="V265" s="302">
        <v>0</v>
      </c>
      <c r="W265" s="302">
        <v>0</v>
      </c>
      <c r="X265" s="302">
        <v>0</v>
      </c>
      <c r="Y265" s="302">
        <v>0</v>
      </c>
      <c r="Z265" s="302">
        <v>0</v>
      </c>
      <c r="AA265" s="302">
        <v>0</v>
      </c>
      <c r="AB265" s="302">
        <v>0</v>
      </c>
      <c r="AC265" s="302">
        <v>0</v>
      </c>
      <c r="AD265" s="302">
        <v>0</v>
      </c>
      <c r="AE265" s="302">
        <v>0</v>
      </c>
      <c r="AF265" s="302">
        <v>0</v>
      </c>
      <c r="AG265" s="302">
        <v>0</v>
      </c>
      <c r="AH265" s="302">
        <v>0</v>
      </c>
      <c r="AI265" s="302">
        <v>0</v>
      </c>
      <c r="AJ265" s="302">
        <v>0</v>
      </c>
      <c r="AK265" s="302">
        <v>0</v>
      </c>
      <c r="AL265" s="302">
        <v>0</v>
      </c>
      <c r="AM265" s="302">
        <v>0</v>
      </c>
      <c r="AN265" s="302">
        <v>0</v>
      </c>
      <c r="AO265" s="302">
        <v>0</v>
      </c>
      <c r="AP265" s="302">
        <v>0</v>
      </c>
      <c r="AQ265" s="302">
        <v>0</v>
      </c>
      <c r="AR265" s="302">
        <v>0</v>
      </c>
      <c r="AS265" s="302">
        <v>0</v>
      </c>
      <c r="AT265" s="302">
        <v>0</v>
      </c>
    </row>
    <row r="266" spans="1:80" x14ac:dyDescent="0.25">
      <c r="A266" s="302">
        <v>614</v>
      </c>
      <c r="B266" s="302">
        <v>614</v>
      </c>
      <c r="C266" s="302" t="s">
        <v>427</v>
      </c>
      <c r="D266" s="302">
        <v>0</v>
      </c>
      <c r="E266" s="302">
        <v>0</v>
      </c>
      <c r="F266" s="302">
        <v>0</v>
      </c>
      <c r="G266" s="302">
        <v>0</v>
      </c>
      <c r="H266" s="302">
        <v>0</v>
      </c>
      <c r="I266" s="302">
        <v>0</v>
      </c>
      <c r="J266" s="302">
        <v>0</v>
      </c>
      <c r="K266" s="302">
        <v>0</v>
      </c>
      <c r="L266" s="302">
        <v>0</v>
      </c>
      <c r="M266" s="302">
        <v>0</v>
      </c>
      <c r="N266" s="302">
        <v>0</v>
      </c>
      <c r="O266" s="302">
        <v>0</v>
      </c>
      <c r="P266" s="302">
        <v>0</v>
      </c>
      <c r="Q266" s="302">
        <v>0</v>
      </c>
      <c r="R266" s="302">
        <v>0</v>
      </c>
      <c r="S266" s="302">
        <v>0</v>
      </c>
      <c r="T266" s="302">
        <v>0</v>
      </c>
      <c r="U266" s="302">
        <v>0</v>
      </c>
      <c r="V266" s="302">
        <v>0</v>
      </c>
      <c r="W266" s="302">
        <v>0</v>
      </c>
      <c r="X266" s="302">
        <v>0</v>
      </c>
      <c r="Y266" s="302">
        <v>0</v>
      </c>
      <c r="Z266" s="302">
        <v>0</v>
      </c>
      <c r="AA266" s="302">
        <v>0</v>
      </c>
      <c r="AB266" s="302">
        <v>0</v>
      </c>
      <c r="AC266" s="302">
        <v>0</v>
      </c>
      <c r="AD266" s="302">
        <v>0</v>
      </c>
      <c r="AE266" s="302">
        <v>0</v>
      </c>
      <c r="AF266" s="302">
        <v>0</v>
      </c>
      <c r="AG266" s="302">
        <v>0</v>
      </c>
      <c r="AH266" s="302">
        <v>0</v>
      </c>
      <c r="AI266" s="302">
        <v>0</v>
      </c>
      <c r="AJ266" s="302">
        <v>0</v>
      </c>
      <c r="AK266" s="302">
        <v>0</v>
      </c>
      <c r="AL266" s="302">
        <v>0</v>
      </c>
      <c r="AM266" s="302">
        <v>0</v>
      </c>
      <c r="AN266" s="302">
        <v>0</v>
      </c>
      <c r="AO266" s="302">
        <v>0</v>
      </c>
      <c r="AP266" s="302">
        <v>0</v>
      </c>
      <c r="AQ266" s="302">
        <v>0</v>
      </c>
      <c r="AR266" s="302">
        <v>0</v>
      </c>
      <c r="AS266" s="302">
        <v>0</v>
      </c>
      <c r="AT266" s="302">
        <v>0</v>
      </c>
    </row>
    <row r="267" spans="1:80" x14ac:dyDescent="0.25">
      <c r="A267" s="302">
        <v>615</v>
      </c>
      <c r="B267" s="302">
        <v>615</v>
      </c>
      <c r="C267" s="302" t="s">
        <v>1528</v>
      </c>
      <c r="D267" s="302">
        <v>0</v>
      </c>
      <c r="E267" s="302">
        <v>0</v>
      </c>
      <c r="F267" s="302">
        <v>0</v>
      </c>
      <c r="G267" s="302">
        <v>0</v>
      </c>
      <c r="H267" s="302">
        <v>0</v>
      </c>
      <c r="I267" s="302">
        <v>0</v>
      </c>
      <c r="J267" s="302">
        <v>0</v>
      </c>
      <c r="K267" s="302">
        <v>0</v>
      </c>
      <c r="L267" s="302">
        <v>0</v>
      </c>
      <c r="M267" s="302">
        <v>0</v>
      </c>
      <c r="N267" s="302">
        <v>0</v>
      </c>
      <c r="O267" s="302">
        <v>0</v>
      </c>
      <c r="P267" s="302">
        <v>0</v>
      </c>
      <c r="Q267" s="302">
        <v>0</v>
      </c>
      <c r="R267" s="302">
        <v>0</v>
      </c>
      <c r="S267" s="302">
        <v>0</v>
      </c>
      <c r="T267" s="302">
        <v>0</v>
      </c>
      <c r="U267" s="302">
        <v>0</v>
      </c>
      <c r="V267" s="302">
        <v>0</v>
      </c>
      <c r="W267" s="302">
        <v>0</v>
      </c>
      <c r="X267" s="302">
        <v>0</v>
      </c>
      <c r="Y267" s="302">
        <v>0</v>
      </c>
      <c r="Z267" s="302">
        <v>0</v>
      </c>
      <c r="AA267" s="302">
        <v>0</v>
      </c>
      <c r="AB267" s="302">
        <v>0</v>
      </c>
      <c r="AC267" s="302">
        <v>0</v>
      </c>
      <c r="AD267" s="302">
        <v>0</v>
      </c>
      <c r="AE267" s="302">
        <v>0</v>
      </c>
      <c r="AF267" s="302">
        <v>0</v>
      </c>
      <c r="AG267" s="302">
        <v>0</v>
      </c>
      <c r="AH267" s="302">
        <v>0</v>
      </c>
      <c r="AI267" s="302">
        <v>0</v>
      </c>
      <c r="AJ267" s="302">
        <v>0</v>
      </c>
      <c r="AK267" s="302">
        <v>0</v>
      </c>
      <c r="AL267" s="302">
        <v>0</v>
      </c>
      <c r="AM267" s="302">
        <v>0</v>
      </c>
      <c r="AN267" s="302">
        <v>0</v>
      </c>
      <c r="AO267" s="302">
        <v>0</v>
      </c>
      <c r="AP267" s="302">
        <v>0</v>
      </c>
      <c r="AQ267" s="302">
        <v>0</v>
      </c>
      <c r="AR267" s="302">
        <v>0</v>
      </c>
      <c r="AS267" s="302">
        <v>0</v>
      </c>
      <c r="AT267" s="302">
        <v>0</v>
      </c>
    </row>
    <row r="268" spans="1:80" x14ac:dyDescent="0.25">
      <c r="A268" s="302">
        <v>616</v>
      </c>
      <c r="B268" s="302">
        <v>616</v>
      </c>
      <c r="C268" s="302" t="s">
        <v>428</v>
      </c>
      <c r="D268" s="302">
        <v>0</v>
      </c>
      <c r="E268" s="302">
        <v>0</v>
      </c>
      <c r="F268" s="302">
        <v>0</v>
      </c>
      <c r="G268" s="302">
        <v>0</v>
      </c>
      <c r="H268" s="302">
        <v>0</v>
      </c>
      <c r="I268" s="302">
        <v>0</v>
      </c>
      <c r="J268" s="302">
        <v>0</v>
      </c>
      <c r="K268" s="302">
        <v>0</v>
      </c>
      <c r="L268" s="302">
        <v>0</v>
      </c>
      <c r="M268" s="302">
        <v>0</v>
      </c>
      <c r="N268" s="302">
        <v>0</v>
      </c>
      <c r="O268" s="302">
        <v>0</v>
      </c>
      <c r="P268" s="302">
        <v>0</v>
      </c>
      <c r="Q268" s="302">
        <v>0</v>
      </c>
      <c r="R268" s="302">
        <v>0</v>
      </c>
      <c r="S268" s="302">
        <v>0</v>
      </c>
      <c r="T268" s="302">
        <v>0</v>
      </c>
      <c r="U268" s="302">
        <v>0</v>
      </c>
      <c r="V268" s="302">
        <v>0</v>
      </c>
      <c r="W268" s="302">
        <v>0</v>
      </c>
      <c r="X268" s="302">
        <v>0</v>
      </c>
      <c r="Y268" s="302">
        <v>0</v>
      </c>
      <c r="Z268" s="302">
        <v>0</v>
      </c>
      <c r="AA268" s="302">
        <v>0</v>
      </c>
      <c r="AB268" s="302">
        <v>0</v>
      </c>
      <c r="AC268" s="302">
        <v>0</v>
      </c>
      <c r="AD268" s="302">
        <v>0</v>
      </c>
      <c r="AE268" s="302">
        <v>0</v>
      </c>
      <c r="AF268" s="302">
        <v>0</v>
      </c>
      <c r="AG268" s="302">
        <v>0</v>
      </c>
      <c r="AH268" s="302">
        <v>0</v>
      </c>
      <c r="AI268" s="302">
        <v>0</v>
      </c>
      <c r="AJ268" s="302">
        <v>0</v>
      </c>
      <c r="AK268" s="302">
        <v>0</v>
      </c>
      <c r="AL268" s="302">
        <v>0</v>
      </c>
      <c r="AM268" s="302">
        <v>0</v>
      </c>
      <c r="AN268" s="302">
        <v>0</v>
      </c>
      <c r="AO268" s="302">
        <v>0</v>
      </c>
      <c r="AP268" s="302">
        <v>0</v>
      </c>
      <c r="AQ268" s="302">
        <v>0</v>
      </c>
      <c r="AR268" s="302">
        <v>0</v>
      </c>
      <c r="AS268" s="302">
        <v>0</v>
      </c>
      <c r="AT268" s="302">
        <v>0</v>
      </c>
    </row>
    <row r="269" spans="1:80" x14ac:dyDescent="0.25">
      <c r="A269" s="302">
        <v>617</v>
      </c>
      <c r="B269" s="302">
        <v>617</v>
      </c>
      <c r="C269" s="302" t="s">
        <v>429</v>
      </c>
      <c r="D269" s="302">
        <v>0</v>
      </c>
      <c r="E269" s="415">
        <v>0</v>
      </c>
      <c r="F269" s="415">
        <v>0</v>
      </c>
      <c r="G269" s="415">
        <v>0</v>
      </c>
      <c r="H269" s="415">
        <v>0</v>
      </c>
      <c r="I269" s="415">
        <v>0</v>
      </c>
      <c r="J269" s="415">
        <v>0</v>
      </c>
      <c r="K269" s="415">
        <v>0</v>
      </c>
      <c r="L269" s="415">
        <v>0</v>
      </c>
      <c r="M269" s="415">
        <v>0</v>
      </c>
      <c r="N269" s="415">
        <v>0</v>
      </c>
      <c r="O269" s="415">
        <v>0</v>
      </c>
      <c r="P269" s="415">
        <v>0</v>
      </c>
      <c r="Q269" s="415">
        <v>0</v>
      </c>
      <c r="R269" s="415">
        <v>0</v>
      </c>
      <c r="S269" s="415">
        <v>0</v>
      </c>
      <c r="T269" s="415">
        <v>0</v>
      </c>
      <c r="U269" s="415">
        <v>0</v>
      </c>
      <c r="V269" s="415">
        <v>0</v>
      </c>
      <c r="W269" s="415">
        <v>0</v>
      </c>
      <c r="X269" s="415">
        <v>0</v>
      </c>
      <c r="Y269" s="415">
        <v>0</v>
      </c>
      <c r="Z269" s="415">
        <v>0</v>
      </c>
      <c r="AA269" s="415">
        <v>0</v>
      </c>
      <c r="AB269" s="415">
        <v>0</v>
      </c>
      <c r="AC269" s="415">
        <v>0</v>
      </c>
      <c r="AD269" s="415">
        <v>0</v>
      </c>
      <c r="AE269" s="415">
        <v>0</v>
      </c>
      <c r="AF269" s="415">
        <v>0</v>
      </c>
      <c r="AG269" s="415">
        <v>0</v>
      </c>
      <c r="AH269" s="415">
        <v>0</v>
      </c>
      <c r="AI269" s="415">
        <v>0</v>
      </c>
      <c r="AJ269" s="415">
        <v>0</v>
      </c>
      <c r="AK269" s="415">
        <v>0</v>
      </c>
      <c r="AL269" s="415">
        <v>0</v>
      </c>
      <c r="AM269" s="415">
        <v>0</v>
      </c>
      <c r="AN269" s="415">
        <v>0</v>
      </c>
      <c r="AO269" s="415">
        <v>0</v>
      </c>
      <c r="AP269" s="415">
        <v>0</v>
      </c>
      <c r="AQ269" s="415">
        <v>0</v>
      </c>
      <c r="AR269" s="415">
        <v>0</v>
      </c>
      <c r="AS269" s="415">
        <v>0</v>
      </c>
      <c r="AT269" s="415">
        <v>0</v>
      </c>
      <c r="AU269" s="415"/>
      <c r="AV269" s="415"/>
      <c r="AW269" s="415"/>
      <c r="AX269" s="415"/>
      <c r="AY269" s="415"/>
      <c r="AZ269" s="415"/>
      <c r="BA269" s="415"/>
      <c r="BB269" s="415"/>
      <c r="BC269" s="415"/>
      <c r="BD269" s="415"/>
      <c r="BE269" s="415"/>
      <c r="BF269" s="415"/>
      <c r="BG269" s="415"/>
      <c r="BH269" s="415"/>
      <c r="BI269" s="415"/>
      <c r="BJ269" s="415"/>
      <c r="BK269" s="415"/>
      <c r="BL269" s="415"/>
      <c r="BM269" s="415"/>
      <c r="BN269" s="415"/>
      <c r="BO269" s="415"/>
      <c r="BP269" s="415"/>
      <c r="BQ269" s="415"/>
      <c r="BR269" s="415"/>
      <c r="BS269" s="415"/>
      <c r="BT269" s="415"/>
      <c r="BU269" s="415"/>
      <c r="BV269" s="415"/>
      <c r="BW269" s="415"/>
      <c r="BX269" s="415"/>
      <c r="BY269" s="415"/>
      <c r="BZ269" s="415"/>
      <c r="CA269" s="415"/>
      <c r="CB269" s="415"/>
    </row>
    <row r="270" spans="1:80" x14ac:dyDescent="0.25">
      <c r="A270" s="302">
        <v>618</v>
      </c>
      <c r="B270" s="302">
        <v>618</v>
      </c>
      <c r="C270" s="302" t="s">
        <v>1529</v>
      </c>
      <c r="D270" s="302">
        <v>0</v>
      </c>
      <c r="E270" s="302">
        <v>0</v>
      </c>
      <c r="F270" s="302">
        <v>0</v>
      </c>
      <c r="G270" s="302">
        <v>0</v>
      </c>
      <c r="H270" s="302">
        <v>0</v>
      </c>
      <c r="I270" s="302">
        <v>0</v>
      </c>
      <c r="J270" s="302">
        <v>0</v>
      </c>
      <c r="K270" s="302">
        <v>0</v>
      </c>
      <c r="L270" s="302">
        <v>0</v>
      </c>
      <c r="M270" s="302">
        <v>0</v>
      </c>
      <c r="N270" s="302">
        <v>0</v>
      </c>
      <c r="O270" s="302">
        <v>0</v>
      </c>
      <c r="P270" s="302">
        <v>0</v>
      </c>
      <c r="Q270" s="302">
        <v>0</v>
      </c>
      <c r="R270" s="302">
        <v>0</v>
      </c>
      <c r="S270" s="302">
        <v>0</v>
      </c>
      <c r="T270" s="302">
        <v>0</v>
      </c>
      <c r="U270" s="302">
        <v>0</v>
      </c>
      <c r="V270" s="302">
        <v>0</v>
      </c>
      <c r="W270" s="302">
        <v>0</v>
      </c>
      <c r="X270" s="302">
        <v>0</v>
      </c>
      <c r="Y270" s="302">
        <v>0</v>
      </c>
      <c r="Z270" s="302">
        <v>0</v>
      </c>
      <c r="AA270" s="302">
        <v>0</v>
      </c>
      <c r="AB270" s="302">
        <v>0</v>
      </c>
      <c r="AC270" s="302">
        <v>0</v>
      </c>
      <c r="AD270" s="302">
        <v>0</v>
      </c>
      <c r="AE270" s="302">
        <v>0</v>
      </c>
      <c r="AF270" s="302">
        <v>0</v>
      </c>
      <c r="AG270" s="302">
        <v>0</v>
      </c>
      <c r="AH270" s="302">
        <v>0</v>
      </c>
      <c r="AI270" s="302">
        <v>0</v>
      </c>
      <c r="AJ270" s="302">
        <v>0</v>
      </c>
      <c r="AK270" s="302">
        <v>0</v>
      </c>
      <c r="AL270" s="302">
        <v>0</v>
      </c>
      <c r="AM270" s="302">
        <v>0</v>
      </c>
      <c r="AN270" s="302">
        <v>0</v>
      </c>
      <c r="AO270" s="302">
        <v>0</v>
      </c>
      <c r="AP270" s="302">
        <v>0</v>
      </c>
      <c r="AQ270" s="302">
        <v>0</v>
      </c>
      <c r="AR270" s="302">
        <v>0</v>
      </c>
      <c r="AS270" s="302">
        <v>0</v>
      </c>
      <c r="AT270" s="302">
        <v>0</v>
      </c>
    </row>
    <row r="271" spans="1:80" x14ac:dyDescent="0.25">
      <c r="A271" s="302">
        <v>619</v>
      </c>
      <c r="B271" s="302">
        <v>619</v>
      </c>
      <c r="C271" s="302" t="s">
        <v>443</v>
      </c>
      <c r="D271" s="302">
        <v>0</v>
      </c>
      <c r="E271" s="302">
        <v>0</v>
      </c>
      <c r="F271" s="302">
        <v>0</v>
      </c>
      <c r="G271" s="302">
        <v>0</v>
      </c>
      <c r="H271" s="302">
        <v>0</v>
      </c>
      <c r="I271" s="302">
        <v>0</v>
      </c>
      <c r="J271" s="302">
        <v>0</v>
      </c>
      <c r="K271" s="302">
        <v>0</v>
      </c>
      <c r="L271" s="302">
        <v>0</v>
      </c>
      <c r="M271" s="302">
        <v>0</v>
      </c>
      <c r="N271" s="302">
        <v>0</v>
      </c>
      <c r="O271" s="302">
        <v>0</v>
      </c>
      <c r="P271" s="302">
        <v>0</v>
      </c>
      <c r="Q271" s="302">
        <v>0</v>
      </c>
      <c r="R271" s="302">
        <v>0</v>
      </c>
      <c r="S271" s="302">
        <v>0</v>
      </c>
      <c r="T271" s="302">
        <v>0</v>
      </c>
      <c r="U271" s="302">
        <v>0</v>
      </c>
      <c r="V271" s="302">
        <v>0</v>
      </c>
      <c r="W271" s="302">
        <v>0</v>
      </c>
      <c r="X271" s="302">
        <v>0</v>
      </c>
      <c r="Y271" s="302">
        <v>0</v>
      </c>
      <c r="Z271" s="302">
        <v>0</v>
      </c>
      <c r="AA271" s="302">
        <v>0</v>
      </c>
      <c r="AB271" s="302">
        <v>0</v>
      </c>
      <c r="AC271" s="302">
        <v>0</v>
      </c>
      <c r="AD271" s="302">
        <v>0</v>
      </c>
      <c r="AE271" s="302">
        <v>0</v>
      </c>
      <c r="AF271" s="302">
        <v>0</v>
      </c>
      <c r="AG271" s="302">
        <v>0</v>
      </c>
      <c r="AH271" s="302">
        <v>0</v>
      </c>
      <c r="AI271" s="302">
        <v>0</v>
      </c>
      <c r="AJ271" s="302">
        <v>0</v>
      </c>
      <c r="AK271" s="302">
        <v>0</v>
      </c>
      <c r="AL271" s="302">
        <v>0</v>
      </c>
      <c r="AM271" s="302">
        <v>0</v>
      </c>
      <c r="AN271" s="302">
        <v>0</v>
      </c>
      <c r="AO271" s="302">
        <v>0</v>
      </c>
      <c r="AP271" s="302">
        <v>0</v>
      </c>
      <c r="AQ271" s="302">
        <v>0</v>
      </c>
      <c r="AR271" s="302">
        <v>0</v>
      </c>
      <c r="AS271" s="302">
        <v>0</v>
      </c>
      <c r="AT271" s="302">
        <v>0</v>
      </c>
    </row>
    <row r="272" spans="1:80" x14ac:dyDescent="0.25">
      <c r="A272" s="302">
        <v>620</v>
      </c>
      <c r="B272" s="302">
        <v>620</v>
      </c>
      <c r="C272" s="302" t="s">
        <v>438</v>
      </c>
      <c r="D272" s="302">
        <v>2</v>
      </c>
      <c r="E272" s="415">
        <v>2</v>
      </c>
      <c r="F272" s="415">
        <v>2</v>
      </c>
      <c r="G272" s="415">
        <v>2</v>
      </c>
      <c r="H272" s="415">
        <v>1</v>
      </c>
      <c r="I272" s="415">
        <v>2</v>
      </c>
      <c r="J272" s="415">
        <v>2</v>
      </c>
      <c r="K272" s="415">
        <v>2</v>
      </c>
      <c r="L272" s="415">
        <v>2</v>
      </c>
      <c r="M272" s="415">
        <v>2</v>
      </c>
      <c r="N272" s="415">
        <v>2</v>
      </c>
      <c r="O272" s="415">
        <v>2</v>
      </c>
      <c r="P272" s="415">
        <v>2</v>
      </c>
      <c r="Q272" s="415">
        <v>0</v>
      </c>
      <c r="R272" s="415">
        <v>2</v>
      </c>
      <c r="S272" s="415">
        <v>2</v>
      </c>
      <c r="T272" s="415">
        <v>2</v>
      </c>
      <c r="U272" s="415">
        <v>2</v>
      </c>
      <c r="V272" s="415">
        <v>2</v>
      </c>
      <c r="W272" s="415">
        <v>2</v>
      </c>
      <c r="X272" s="415">
        <v>2</v>
      </c>
      <c r="Y272" s="415">
        <v>2</v>
      </c>
      <c r="Z272" s="415">
        <v>2</v>
      </c>
      <c r="AA272" s="415">
        <v>2</v>
      </c>
      <c r="AB272" s="415">
        <v>2</v>
      </c>
      <c r="AC272" s="415">
        <v>2</v>
      </c>
      <c r="AD272" s="415">
        <v>2</v>
      </c>
      <c r="AE272" s="415">
        <v>2</v>
      </c>
      <c r="AF272" s="415">
        <v>2</v>
      </c>
      <c r="AG272" s="415">
        <v>2</v>
      </c>
      <c r="AH272" s="415">
        <v>2</v>
      </c>
      <c r="AI272" s="415">
        <v>2</v>
      </c>
      <c r="AJ272" s="415">
        <v>2</v>
      </c>
      <c r="AK272" s="415">
        <v>2</v>
      </c>
      <c r="AL272" s="415">
        <v>2</v>
      </c>
      <c r="AM272" s="415">
        <v>2</v>
      </c>
      <c r="AN272" s="415">
        <v>2</v>
      </c>
      <c r="AO272" s="415">
        <v>2</v>
      </c>
      <c r="AP272" s="415">
        <v>2</v>
      </c>
      <c r="AQ272" s="415">
        <v>2</v>
      </c>
      <c r="AR272" s="415">
        <v>2</v>
      </c>
      <c r="AS272" s="415">
        <v>2</v>
      </c>
      <c r="AT272" s="415">
        <v>2</v>
      </c>
      <c r="AU272" s="415"/>
      <c r="AV272" s="415"/>
      <c r="AW272" s="415"/>
      <c r="AX272" s="415"/>
      <c r="AY272" s="415"/>
      <c r="AZ272" s="415"/>
      <c r="BA272" s="415"/>
      <c r="BB272" s="415"/>
      <c r="BC272" s="415"/>
      <c r="BD272" s="415"/>
      <c r="BE272" s="415"/>
      <c r="BF272" s="415"/>
      <c r="BG272" s="415"/>
      <c r="BH272" s="415"/>
      <c r="BI272" s="415"/>
      <c r="BJ272" s="415"/>
      <c r="BK272" s="415"/>
      <c r="BL272" s="415"/>
      <c r="BM272" s="415"/>
      <c r="BN272" s="415"/>
      <c r="BO272" s="415"/>
      <c r="BP272" s="415"/>
      <c r="BQ272" s="415"/>
      <c r="BR272" s="415"/>
      <c r="BS272" s="415"/>
      <c r="BT272" s="415"/>
      <c r="BU272" s="415"/>
      <c r="BV272" s="415"/>
      <c r="BW272" s="415"/>
      <c r="BX272" s="415"/>
      <c r="BY272" s="415"/>
      <c r="BZ272" s="415"/>
      <c r="CA272" s="415"/>
      <c r="CB272" s="415"/>
    </row>
    <row r="273" spans="1:80" x14ac:dyDescent="0.25">
      <c r="A273" s="302">
        <v>622</v>
      </c>
      <c r="B273" s="302">
        <v>622</v>
      </c>
      <c r="C273" s="302" t="s">
        <v>453</v>
      </c>
      <c r="D273" s="302">
        <v>0</v>
      </c>
      <c r="E273" s="302">
        <v>656190</v>
      </c>
      <c r="F273" s="302">
        <v>0</v>
      </c>
      <c r="G273" s="302">
        <v>0</v>
      </c>
      <c r="H273" s="302">
        <v>0</v>
      </c>
      <c r="I273" s="302">
        <v>0</v>
      </c>
      <c r="J273" s="302">
        <v>240081</v>
      </c>
      <c r="K273" s="302">
        <v>464505</v>
      </c>
      <c r="L273" s="302">
        <v>377204</v>
      </c>
      <c r="M273" s="302">
        <v>88251</v>
      </c>
      <c r="N273" s="302">
        <v>129293</v>
      </c>
      <c r="O273" s="302">
        <v>0</v>
      </c>
      <c r="P273" s="302">
        <v>729732</v>
      </c>
      <c r="Q273" s="302">
        <v>0</v>
      </c>
      <c r="R273" s="302">
        <v>0</v>
      </c>
      <c r="S273" s="302">
        <v>0</v>
      </c>
      <c r="T273" s="302">
        <v>0</v>
      </c>
      <c r="U273" s="302">
        <v>0</v>
      </c>
      <c r="V273" s="302">
        <v>4891901</v>
      </c>
      <c r="W273" s="302">
        <v>17555</v>
      </c>
      <c r="X273" s="302">
        <v>0</v>
      </c>
      <c r="Y273" s="302">
        <v>0</v>
      </c>
      <c r="Z273" s="302">
        <v>0</v>
      </c>
      <c r="AA273" s="302">
        <v>415160</v>
      </c>
      <c r="AB273" s="302">
        <v>0</v>
      </c>
      <c r="AC273" s="302">
        <v>0</v>
      </c>
      <c r="AD273" s="302">
        <v>50531</v>
      </c>
      <c r="AE273" s="302">
        <v>14681001</v>
      </c>
      <c r="AF273" s="302">
        <v>1286758</v>
      </c>
      <c r="AG273" s="302">
        <v>0</v>
      </c>
      <c r="AH273" s="302">
        <v>0</v>
      </c>
      <c r="AI273" s="302">
        <v>0</v>
      </c>
      <c r="AJ273" s="302">
        <v>0</v>
      </c>
      <c r="AK273" s="302">
        <v>0</v>
      </c>
      <c r="AL273" s="302">
        <v>0</v>
      </c>
      <c r="AM273" s="302">
        <v>0</v>
      </c>
      <c r="AN273" s="302">
        <v>0</v>
      </c>
      <c r="AO273" s="302">
        <v>0</v>
      </c>
      <c r="AP273" s="302">
        <v>0</v>
      </c>
      <c r="AQ273" s="302">
        <v>377440</v>
      </c>
      <c r="AR273" s="302">
        <v>722853</v>
      </c>
      <c r="AS273" s="302">
        <v>0</v>
      </c>
      <c r="AT273" s="302">
        <v>0</v>
      </c>
    </row>
    <row r="274" spans="1:80" x14ac:dyDescent="0.25">
      <c r="A274" s="302">
        <v>625</v>
      </c>
      <c r="B274" s="302">
        <v>625</v>
      </c>
      <c r="C274" s="302" t="s">
        <v>545</v>
      </c>
      <c r="D274" s="302">
        <v>1</v>
      </c>
      <c r="E274" s="302">
        <v>1</v>
      </c>
      <c r="F274" s="302">
        <v>1</v>
      </c>
      <c r="G274" s="302">
        <v>1</v>
      </c>
      <c r="H274" s="302">
        <v>1</v>
      </c>
      <c r="I274" s="302">
        <v>1</v>
      </c>
      <c r="J274" s="302">
        <v>1</v>
      </c>
      <c r="K274" s="302">
        <v>1</v>
      </c>
      <c r="L274" s="302">
        <v>1</v>
      </c>
      <c r="M274" s="302">
        <v>1</v>
      </c>
      <c r="N274" s="302">
        <v>1</v>
      </c>
      <c r="O274" s="302">
        <v>1</v>
      </c>
      <c r="P274" s="302">
        <v>3</v>
      </c>
      <c r="Q274" s="302">
        <v>0</v>
      </c>
      <c r="R274" s="302">
        <v>1</v>
      </c>
      <c r="S274" s="302">
        <v>1</v>
      </c>
      <c r="T274" s="302">
        <v>1</v>
      </c>
      <c r="U274" s="302">
        <v>1</v>
      </c>
      <c r="V274" s="302">
        <v>1</v>
      </c>
      <c r="W274" s="302">
        <v>1</v>
      </c>
      <c r="X274" s="302">
        <v>1</v>
      </c>
      <c r="Y274" s="302">
        <v>1</v>
      </c>
      <c r="Z274" s="302">
        <v>1</v>
      </c>
      <c r="AA274" s="302">
        <v>1</v>
      </c>
      <c r="AB274" s="302">
        <v>1</v>
      </c>
      <c r="AC274" s="302">
        <v>1</v>
      </c>
      <c r="AD274" s="302">
        <v>3</v>
      </c>
      <c r="AE274" s="302">
        <v>1</v>
      </c>
      <c r="AF274" s="302">
        <v>1</v>
      </c>
      <c r="AG274" s="302">
        <v>1</v>
      </c>
      <c r="AH274" s="302">
        <v>3</v>
      </c>
      <c r="AI274" s="302">
        <v>1</v>
      </c>
      <c r="AJ274" s="302">
        <v>1</v>
      </c>
      <c r="AK274" s="302">
        <v>1</v>
      </c>
      <c r="AL274" s="302">
        <v>1</v>
      </c>
      <c r="AM274" s="302">
        <v>3</v>
      </c>
      <c r="AN274" s="302">
        <v>1</v>
      </c>
      <c r="AO274" s="302">
        <v>1</v>
      </c>
      <c r="AP274" s="302">
        <v>1</v>
      </c>
      <c r="AQ274" s="302">
        <v>1</v>
      </c>
      <c r="AR274" s="302">
        <v>1</v>
      </c>
      <c r="AS274" s="302">
        <v>1</v>
      </c>
      <c r="AT274" s="302">
        <v>1</v>
      </c>
    </row>
    <row r="275" spans="1:80" x14ac:dyDescent="0.25">
      <c r="D275" s="302">
        <v>5080597</v>
      </c>
      <c r="E275" s="415">
        <v>17475061</v>
      </c>
      <c r="F275" s="415">
        <v>44201135</v>
      </c>
      <c r="G275" s="415">
        <v>52291810</v>
      </c>
      <c r="H275" s="415">
        <v>825514</v>
      </c>
      <c r="I275" s="415">
        <v>6698676</v>
      </c>
      <c r="J275" s="415">
        <v>21895764</v>
      </c>
      <c r="K275" s="415">
        <v>18976746</v>
      </c>
      <c r="L275" s="415">
        <v>43928800</v>
      </c>
      <c r="M275" s="415">
        <v>80981081</v>
      </c>
      <c r="N275" s="415">
        <v>11384659</v>
      </c>
      <c r="O275" s="415">
        <v>1133279</v>
      </c>
      <c r="P275" s="415">
        <v>57185903</v>
      </c>
      <c r="Q275" s="415">
        <v>1203120</v>
      </c>
      <c r="R275" s="415">
        <v>2590895</v>
      </c>
      <c r="S275" s="415">
        <v>928588</v>
      </c>
      <c r="T275" s="415">
        <v>1813077</v>
      </c>
      <c r="U275" s="415">
        <v>44617964</v>
      </c>
      <c r="V275" s="415">
        <v>60791142.600000001</v>
      </c>
      <c r="W275" s="415">
        <v>2147420</v>
      </c>
      <c r="X275" s="415">
        <v>8023081</v>
      </c>
      <c r="Y275" s="415">
        <v>2386369</v>
      </c>
      <c r="Z275" s="415">
        <v>11434699</v>
      </c>
      <c r="AA275" s="415">
        <v>36951016</v>
      </c>
      <c r="AB275" s="415">
        <v>2181741</v>
      </c>
      <c r="AC275" s="415">
        <v>1784230</v>
      </c>
      <c r="AD275" s="415">
        <v>5290478</v>
      </c>
      <c r="AE275" s="415">
        <v>508361366</v>
      </c>
      <c r="AF275" s="415">
        <v>48147959</v>
      </c>
      <c r="AG275" s="415">
        <v>1320962</v>
      </c>
      <c r="AH275" s="415">
        <v>3473820</v>
      </c>
      <c r="AI275" s="415">
        <v>195549886</v>
      </c>
      <c r="AJ275" s="415">
        <v>28518479</v>
      </c>
      <c r="AK275" s="415">
        <v>1596908695</v>
      </c>
      <c r="AL275" s="415">
        <v>12650545</v>
      </c>
      <c r="AM275" s="415">
        <v>3572790</v>
      </c>
      <c r="AN275" s="415">
        <v>2719809</v>
      </c>
      <c r="AO275" s="415">
        <v>978481</v>
      </c>
      <c r="AP275" s="415">
        <v>1651826</v>
      </c>
      <c r="AQ275" s="415">
        <v>22265848</v>
      </c>
      <c r="AR275" s="415">
        <v>18858976</v>
      </c>
      <c r="AS275" s="415">
        <v>5035620</v>
      </c>
      <c r="AT275" s="415">
        <v>2014209</v>
      </c>
      <c r="AU275" s="415"/>
      <c r="AV275" s="415"/>
      <c r="AW275" s="415"/>
      <c r="AX275" s="415"/>
      <c r="AY275" s="415"/>
      <c r="AZ275" s="415"/>
      <c r="BA275" s="415"/>
      <c r="BB275" s="415"/>
      <c r="BC275" s="415"/>
      <c r="BD275" s="415"/>
      <c r="BE275" s="415"/>
      <c r="BF275" s="415"/>
      <c r="BG275" s="415"/>
      <c r="BH275" s="415"/>
      <c r="BI275" s="415"/>
      <c r="BJ275" s="415"/>
      <c r="BK275" s="415"/>
      <c r="BL275" s="415"/>
      <c r="BM275" s="415"/>
      <c r="BN275" s="415"/>
      <c r="BO275" s="415"/>
      <c r="BP275" s="415"/>
      <c r="BQ275" s="415"/>
      <c r="BR275" s="415"/>
      <c r="BS275" s="415"/>
      <c r="BT275" s="415"/>
      <c r="BU275" s="415"/>
      <c r="BV275" s="415"/>
      <c r="BW275" s="415"/>
      <c r="BX275" s="415"/>
      <c r="BY275" s="415"/>
      <c r="BZ275" s="415"/>
      <c r="CA275" s="415"/>
      <c r="CB275" s="415"/>
    </row>
    <row r="276" spans="1:80" x14ac:dyDescent="0.25">
      <c r="D276" s="302">
        <v>5080597</v>
      </c>
      <c r="E276" s="302">
        <v>17475061</v>
      </c>
      <c r="F276" s="302">
        <v>44201135</v>
      </c>
      <c r="G276" s="302">
        <v>52291810</v>
      </c>
      <c r="H276" s="302">
        <v>825514</v>
      </c>
      <c r="I276" s="302">
        <v>6698676</v>
      </c>
      <c r="J276" s="302">
        <v>21895764</v>
      </c>
      <c r="K276" s="302">
        <v>18976746</v>
      </c>
      <c r="L276" s="302">
        <v>43928800</v>
      </c>
      <c r="M276" s="302">
        <v>80981081</v>
      </c>
      <c r="N276" s="302">
        <v>11384659</v>
      </c>
      <c r="O276" s="302">
        <v>1133279</v>
      </c>
      <c r="P276" s="302">
        <v>57185903</v>
      </c>
      <c r="Q276" s="302" t="s">
        <v>1530</v>
      </c>
      <c r="R276" s="302">
        <v>2590895</v>
      </c>
      <c r="S276" s="302">
        <v>928588</v>
      </c>
      <c r="T276" s="302">
        <v>1813077</v>
      </c>
      <c r="U276" s="302">
        <v>44617964</v>
      </c>
      <c r="V276" s="302">
        <v>60791142.600000001</v>
      </c>
      <c r="W276" s="302">
        <v>2147420</v>
      </c>
      <c r="X276" s="302">
        <v>8023081</v>
      </c>
      <c r="Y276" s="302">
        <v>2386369</v>
      </c>
      <c r="Z276" s="302">
        <v>11434699</v>
      </c>
      <c r="AA276" s="302">
        <v>36951016</v>
      </c>
      <c r="AB276" s="302">
        <v>2181741</v>
      </c>
      <c r="AC276" s="302">
        <v>1784230</v>
      </c>
      <c r="AD276" s="302">
        <v>5290478</v>
      </c>
      <c r="AE276" s="302">
        <v>508361366</v>
      </c>
      <c r="AF276" s="302">
        <v>48147959</v>
      </c>
      <c r="AG276" s="302">
        <v>1320962</v>
      </c>
      <c r="AH276" s="302">
        <v>3473820</v>
      </c>
      <c r="AI276" s="302">
        <v>195549886</v>
      </c>
      <c r="AJ276" s="302">
        <v>28518479</v>
      </c>
      <c r="AK276" s="302">
        <v>1596908695</v>
      </c>
      <c r="AL276" s="302">
        <v>12650545</v>
      </c>
      <c r="AM276" s="302">
        <v>3572790</v>
      </c>
      <c r="AN276" s="302">
        <v>2719809</v>
      </c>
      <c r="AO276" s="302">
        <v>978481</v>
      </c>
      <c r="AP276" s="302">
        <v>1651826</v>
      </c>
      <c r="AQ276" s="302">
        <v>22265848</v>
      </c>
      <c r="AR276" s="302">
        <v>18858976</v>
      </c>
      <c r="AS276" s="302">
        <v>5035620</v>
      </c>
      <c r="AT276" s="302">
        <v>2014209</v>
      </c>
    </row>
    <row r="277" spans="1:80" x14ac:dyDescent="0.25">
      <c r="D277" s="302">
        <v>0</v>
      </c>
      <c r="E277" s="302">
        <v>0</v>
      </c>
      <c r="F277" s="302">
        <v>0</v>
      </c>
      <c r="G277" s="302">
        <v>0</v>
      </c>
      <c r="H277" s="302">
        <v>0</v>
      </c>
      <c r="I277" s="302">
        <v>0</v>
      </c>
      <c r="J277" s="302">
        <v>0</v>
      </c>
      <c r="K277" s="302">
        <v>0</v>
      </c>
      <c r="L277" s="302">
        <v>0</v>
      </c>
      <c r="M277" s="302">
        <v>0</v>
      </c>
      <c r="N277" s="302">
        <v>0</v>
      </c>
      <c r="O277" s="302">
        <v>0</v>
      </c>
      <c r="P277" s="302">
        <v>0</v>
      </c>
      <c r="Q277" s="302" t="e">
        <v>#VALUE!</v>
      </c>
      <c r="R277" s="302">
        <v>0</v>
      </c>
      <c r="S277" s="302">
        <v>0</v>
      </c>
      <c r="T277" s="302">
        <v>0</v>
      </c>
      <c r="U277" s="302">
        <v>0</v>
      </c>
      <c r="V277" s="302">
        <v>0</v>
      </c>
      <c r="W277" s="302">
        <v>0</v>
      </c>
      <c r="X277" s="302">
        <v>0</v>
      </c>
      <c r="Y277" s="302">
        <v>0</v>
      </c>
      <c r="Z277" s="302">
        <v>0</v>
      </c>
      <c r="AA277" s="302">
        <v>0</v>
      </c>
      <c r="AB277" s="302">
        <v>0</v>
      </c>
      <c r="AC277" s="302">
        <v>0</v>
      </c>
      <c r="AD277" s="302">
        <v>0</v>
      </c>
      <c r="AE277" s="302">
        <v>0</v>
      </c>
      <c r="AF277" s="302">
        <v>0</v>
      </c>
      <c r="AG277" s="302">
        <v>0</v>
      </c>
      <c r="AH277" s="302">
        <v>0</v>
      </c>
      <c r="AI277" s="302">
        <v>0</v>
      </c>
      <c r="AJ277" s="302">
        <v>0</v>
      </c>
      <c r="AK277" s="302">
        <v>0</v>
      </c>
      <c r="AL277" s="302">
        <v>0</v>
      </c>
      <c r="AM277" s="302">
        <v>0</v>
      </c>
      <c r="AN277" s="302">
        <v>0</v>
      </c>
      <c r="AO277" s="302">
        <v>0</v>
      </c>
      <c r="AP277" s="302">
        <v>0</v>
      </c>
      <c r="AQ277" s="302">
        <v>0</v>
      </c>
      <c r="AR277" s="302">
        <v>0</v>
      </c>
      <c r="AS277" s="302">
        <v>0</v>
      </c>
      <c r="AT277" s="302">
        <v>0</v>
      </c>
    </row>
    <row r="278" spans="1:80" x14ac:dyDescent="0.2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c r="AA278" s="415"/>
      <c r="AB278" s="415"/>
      <c r="AC278" s="415"/>
      <c r="AD278" s="415"/>
      <c r="AE278" s="415"/>
      <c r="AF278" s="415"/>
      <c r="AG278" s="415"/>
      <c r="AH278" s="415"/>
      <c r="AI278" s="415"/>
      <c r="AJ278" s="415"/>
      <c r="AK278" s="415"/>
      <c r="AL278" s="415"/>
      <c r="AM278" s="415"/>
      <c r="AN278" s="415"/>
      <c r="AO278" s="415"/>
      <c r="AP278" s="415"/>
      <c r="AQ278" s="415"/>
      <c r="AR278" s="415"/>
      <c r="AS278" s="415"/>
      <c r="AT278" s="415"/>
      <c r="AU278" s="415"/>
      <c r="AV278" s="415"/>
      <c r="AW278" s="415"/>
      <c r="AX278" s="415"/>
      <c r="AY278" s="415"/>
      <c r="AZ278" s="415"/>
      <c r="BA278" s="415"/>
      <c r="BB278" s="415"/>
      <c r="BC278" s="415"/>
      <c r="BD278" s="415"/>
      <c r="BE278" s="415"/>
      <c r="BF278" s="415"/>
      <c r="BG278" s="415"/>
      <c r="BH278" s="415"/>
      <c r="BI278" s="415"/>
      <c r="BJ278" s="415"/>
      <c r="BK278" s="415"/>
      <c r="BL278" s="415"/>
      <c r="BM278" s="415"/>
      <c r="BN278" s="415"/>
      <c r="BO278" s="415"/>
      <c r="BP278" s="415"/>
      <c r="BQ278" s="415"/>
      <c r="BR278" s="415"/>
      <c r="BS278" s="415"/>
      <c r="BT278" s="415"/>
      <c r="BU278" s="415"/>
      <c r="BV278" s="415"/>
      <c r="BW278" s="415"/>
      <c r="BX278" s="415"/>
      <c r="BY278" s="415"/>
      <c r="BZ278" s="415"/>
      <c r="CA278" s="415"/>
      <c r="CB278" s="415"/>
    </row>
    <row r="279" spans="1:80" x14ac:dyDescent="0.2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c r="AA279" s="415"/>
      <c r="AB279" s="415"/>
      <c r="AC279" s="415"/>
      <c r="AD279" s="415"/>
      <c r="AE279" s="415"/>
      <c r="AF279" s="415"/>
      <c r="AG279" s="415"/>
      <c r="AH279" s="415"/>
      <c r="AI279" s="415"/>
      <c r="AJ279" s="415"/>
      <c r="AK279" s="415"/>
      <c r="AL279" s="415"/>
      <c r="AM279" s="415"/>
      <c r="AN279" s="415"/>
      <c r="AO279" s="415"/>
      <c r="AP279" s="415"/>
      <c r="AQ279" s="415"/>
      <c r="AR279" s="415"/>
      <c r="AS279" s="415"/>
      <c r="AT279" s="415"/>
      <c r="AU279" s="415"/>
      <c r="AV279" s="415"/>
      <c r="AW279" s="415"/>
      <c r="AX279" s="415"/>
      <c r="AY279" s="415"/>
      <c r="AZ279" s="415"/>
      <c r="BA279" s="415"/>
      <c r="BB279" s="415"/>
      <c r="BC279" s="415"/>
      <c r="BD279" s="415"/>
      <c r="BE279" s="415"/>
      <c r="BF279" s="415"/>
      <c r="BG279" s="415"/>
      <c r="BH279" s="415"/>
      <c r="BI279" s="415"/>
      <c r="BJ279" s="415"/>
      <c r="BK279" s="415"/>
      <c r="BL279" s="415"/>
      <c r="BM279" s="415"/>
      <c r="BN279" s="415"/>
      <c r="BO279" s="415"/>
      <c r="BP279" s="415"/>
      <c r="BQ279" s="415"/>
      <c r="BR279" s="415"/>
      <c r="BS279" s="415"/>
      <c r="BT279" s="415"/>
      <c r="BU279" s="415"/>
      <c r="BV279" s="415"/>
      <c r="BW279" s="415"/>
      <c r="BX279" s="415"/>
      <c r="BY279" s="415"/>
      <c r="BZ279" s="415"/>
      <c r="CA279" s="415"/>
      <c r="CB279" s="415"/>
    </row>
    <row r="280" spans="1:80" x14ac:dyDescent="0.2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c r="AA280" s="415"/>
      <c r="AB280" s="415"/>
      <c r="AC280" s="415"/>
      <c r="AD280" s="415"/>
      <c r="AE280" s="415"/>
      <c r="AF280" s="415"/>
      <c r="AG280" s="415"/>
      <c r="AH280" s="415"/>
      <c r="AI280" s="415"/>
      <c r="AJ280" s="415"/>
      <c r="AK280" s="415"/>
      <c r="AL280" s="415"/>
      <c r="AM280" s="415"/>
      <c r="AN280" s="415"/>
      <c r="AO280" s="415"/>
      <c r="AP280" s="415"/>
      <c r="AQ280" s="415"/>
      <c r="AR280" s="415"/>
      <c r="AS280" s="415"/>
      <c r="AT280" s="415"/>
      <c r="AU280" s="415"/>
      <c r="AV280" s="415"/>
      <c r="AW280" s="415"/>
      <c r="AX280" s="415"/>
      <c r="AY280" s="415"/>
      <c r="AZ280" s="415"/>
      <c r="BA280" s="415"/>
      <c r="BB280" s="415"/>
      <c r="BC280" s="415"/>
      <c r="BD280" s="415"/>
      <c r="BE280" s="415"/>
      <c r="BF280" s="415"/>
      <c r="BG280" s="415"/>
      <c r="BH280" s="415"/>
      <c r="BI280" s="415"/>
      <c r="BJ280" s="415"/>
      <c r="BK280" s="415"/>
      <c r="BL280" s="415"/>
      <c r="BM280" s="415"/>
      <c r="BN280" s="415"/>
      <c r="BO280" s="415"/>
      <c r="BP280" s="415"/>
      <c r="BQ280" s="415"/>
      <c r="BR280" s="415"/>
      <c r="BS280" s="415"/>
      <c r="BT280" s="415"/>
      <c r="BU280" s="415"/>
      <c r="BV280" s="415"/>
      <c r="BW280" s="415"/>
      <c r="BX280" s="415"/>
      <c r="BY280" s="415"/>
      <c r="BZ280" s="415"/>
      <c r="CA280" s="415"/>
      <c r="CB280" s="415"/>
    </row>
    <row r="281" spans="1:80" x14ac:dyDescent="0.2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c r="AA281" s="415"/>
      <c r="AB281" s="415"/>
      <c r="AC281" s="415"/>
      <c r="AD281" s="415"/>
      <c r="AE281" s="415"/>
      <c r="AF281" s="415"/>
      <c r="AG281" s="415"/>
      <c r="AH281" s="415"/>
      <c r="AI281" s="415"/>
      <c r="AJ281" s="415"/>
      <c r="AK281" s="415"/>
      <c r="AL281" s="415"/>
      <c r="AM281" s="415"/>
      <c r="AN281" s="415"/>
      <c r="AO281" s="415"/>
      <c r="AP281" s="415"/>
      <c r="AQ281" s="415"/>
      <c r="AR281" s="415"/>
      <c r="AS281" s="415"/>
      <c r="AT281" s="415"/>
      <c r="AU281" s="415"/>
      <c r="AV281" s="415"/>
      <c r="AW281" s="415"/>
      <c r="AX281" s="415"/>
      <c r="AY281" s="415"/>
      <c r="AZ281" s="415"/>
      <c r="BA281" s="415"/>
      <c r="BB281" s="415"/>
      <c r="BC281" s="415"/>
      <c r="BD281" s="415"/>
      <c r="BE281" s="415"/>
      <c r="BF281" s="415"/>
      <c r="BG281" s="415"/>
      <c r="BH281" s="415"/>
      <c r="BI281" s="415"/>
      <c r="BJ281" s="415"/>
      <c r="BK281" s="415"/>
      <c r="BL281" s="415"/>
      <c r="BM281" s="415"/>
      <c r="BN281" s="415"/>
      <c r="BO281" s="415"/>
      <c r="BP281" s="415"/>
      <c r="BQ281" s="415"/>
      <c r="BR281" s="415"/>
      <c r="BS281" s="415"/>
      <c r="BT281" s="415"/>
      <c r="BU281" s="415"/>
      <c r="BV281" s="415"/>
      <c r="BW281" s="415"/>
      <c r="BX281" s="415"/>
      <c r="BY281" s="415"/>
      <c r="BZ281" s="415"/>
      <c r="CA281" s="415"/>
      <c r="CB281" s="415"/>
    </row>
    <row r="282" spans="1:80" x14ac:dyDescent="0.2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c r="AA282" s="415"/>
      <c r="AB282" s="415"/>
      <c r="AC282" s="415"/>
      <c r="AD282" s="415"/>
      <c r="AE282" s="415"/>
      <c r="AF282" s="415"/>
      <c r="AG282" s="415"/>
      <c r="AH282" s="415"/>
      <c r="AI282" s="415"/>
      <c r="AJ282" s="415"/>
      <c r="AK282" s="415"/>
      <c r="AL282" s="415"/>
      <c r="AM282" s="415"/>
      <c r="AN282" s="415"/>
      <c r="AO282" s="415"/>
      <c r="AP282" s="415"/>
      <c r="AQ282" s="415"/>
      <c r="AR282" s="415"/>
      <c r="AS282" s="415"/>
      <c r="AT282" s="415"/>
      <c r="AU282" s="415"/>
      <c r="AV282" s="415"/>
      <c r="AW282" s="415"/>
      <c r="AX282" s="415"/>
      <c r="AY282" s="415"/>
      <c r="AZ282" s="415"/>
      <c r="BA282" s="415"/>
      <c r="BB282" s="415"/>
      <c r="BC282" s="415"/>
      <c r="BD282" s="415"/>
      <c r="BE282" s="415"/>
      <c r="BF282" s="415"/>
      <c r="BG282" s="415"/>
      <c r="BH282" s="415"/>
      <c r="BI282" s="415"/>
      <c r="BJ282" s="415"/>
      <c r="BK282" s="415"/>
      <c r="BL282" s="415"/>
      <c r="BM282" s="415"/>
      <c r="BN282" s="415"/>
      <c r="BO282" s="415"/>
      <c r="BP282" s="415"/>
      <c r="BQ282" s="415"/>
      <c r="BR282" s="415"/>
      <c r="BS282" s="415"/>
      <c r="BT282" s="415"/>
      <c r="BU282" s="415"/>
      <c r="BV282" s="415"/>
      <c r="BW282" s="415"/>
      <c r="BX282" s="415"/>
      <c r="BY282" s="415"/>
      <c r="BZ282" s="415"/>
      <c r="CA282" s="415"/>
      <c r="CB282" s="415"/>
    </row>
    <row r="283" spans="1:80" x14ac:dyDescent="0.2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c r="AA283" s="415"/>
      <c r="AB283" s="415"/>
      <c r="AC283" s="415"/>
      <c r="AD283" s="415"/>
      <c r="AE283" s="415"/>
      <c r="AF283" s="415"/>
      <c r="AG283" s="415"/>
      <c r="AH283" s="415"/>
      <c r="AI283" s="415"/>
      <c r="AJ283" s="415"/>
      <c r="AK283" s="415"/>
      <c r="AL283" s="415"/>
      <c r="AM283" s="415"/>
      <c r="AN283" s="415"/>
      <c r="AO283" s="415"/>
      <c r="AP283" s="415"/>
      <c r="AQ283" s="415"/>
      <c r="AR283" s="415"/>
      <c r="AS283" s="415"/>
      <c r="AT283" s="415"/>
      <c r="AU283" s="415"/>
      <c r="AV283" s="415"/>
      <c r="AW283" s="415"/>
      <c r="AX283" s="415"/>
      <c r="AY283" s="415"/>
      <c r="AZ283" s="415"/>
      <c r="BA283" s="415"/>
      <c r="BB283" s="415"/>
      <c r="BC283" s="415"/>
      <c r="BD283" s="415"/>
      <c r="BE283" s="415"/>
      <c r="BF283" s="415"/>
      <c r="BG283" s="415"/>
      <c r="BH283" s="415"/>
      <c r="BI283" s="415"/>
      <c r="BJ283" s="415"/>
      <c r="BK283" s="415"/>
      <c r="BL283" s="415"/>
      <c r="BM283" s="415"/>
      <c r="BN283" s="415"/>
      <c r="BO283" s="415"/>
      <c r="BP283" s="415"/>
      <c r="BQ283" s="415"/>
      <c r="BR283" s="415"/>
      <c r="BS283" s="415"/>
      <c r="BT283" s="415"/>
      <c r="BU283" s="415"/>
      <c r="BV283" s="415"/>
      <c r="BW283" s="415"/>
      <c r="BX283" s="415"/>
      <c r="BY283" s="415"/>
      <c r="BZ283" s="415"/>
      <c r="CA283" s="415"/>
      <c r="CB283" s="415"/>
    </row>
    <row r="284" spans="1:80" x14ac:dyDescent="0.2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c r="AA284" s="415"/>
      <c r="AB284" s="415"/>
      <c r="AC284" s="415"/>
      <c r="AD284" s="415"/>
      <c r="AE284" s="415"/>
      <c r="AF284" s="415"/>
      <c r="AG284" s="415"/>
      <c r="AH284" s="415"/>
      <c r="AI284" s="415"/>
      <c r="AJ284" s="415"/>
      <c r="AK284" s="415"/>
      <c r="AL284" s="415"/>
      <c r="AM284" s="415"/>
      <c r="AN284" s="415"/>
      <c r="AO284" s="415"/>
      <c r="AP284" s="415"/>
      <c r="AQ284" s="415"/>
      <c r="AR284" s="415"/>
      <c r="AS284" s="415"/>
      <c r="AT284" s="415"/>
      <c r="AU284" s="415"/>
      <c r="AV284" s="415"/>
      <c r="AW284" s="415"/>
      <c r="AX284" s="415"/>
      <c r="AY284" s="415"/>
      <c r="AZ284" s="415"/>
      <c r="BA284" s="415"/>
      <c r="BB284" s="415"/>
      <c r="BC284" s="415"/>
      <c r="BD284" s="415"/>
      <c r="BE284" s="415"/>
      <c r="BF284" s="415"/>
      <c r="BG284" s="415"/>
      <c r="BH284" s="415"/>
      <c r="BI284" s="415"/>
      <c r="BJ284" s="415"/>
      <c r="BK284" s="415"/>
      <c r="BL284" s="415"/>
      <c r="BM284" s="415"/>
      <c r="BN284" s="415"/>
      <c r="BO284" s="415"/>
      <c r="BP284" s="415"/>
      <c r="BQ284" s="415"/>
      <c r="BR284" s="415"/>
      <c r="BS284" s="415"/>
      <c r="BT284" s="415"/>
      <c r="BU284" s="415"/>
      <c r="BV284" s="415"/>
      <c r="BW284" s="415"/>
      <c r="BX284" s="415"/>
      <c r="BY284" s="415"/>
      <c r="BZ284" s="415"/>
      <c r="CA284" s="415"/>
      <c r="CB284" s="415"/>
    </row>
    <row r="285" spans="1:80" x14ac:dyDescent="0.25">
      <c r="E285" s="413"/>
      <c r="F285" s="413"/>
      <c r="G285" s="413"/>
      <c r="H285" s="413"/>
      <c r="I285" s="413"/>
      <c r="J285" s="413"/>
      <c r="K285" s="413"/>
      <c r="L285" s="413"/>
      <c r="M285" s="413"/>
      <c r="N285" s="413"/>
      <c r="O285" s="413"/>
      <c r="P285" s="413"/>
      <c r="Q285" s="413"/>
      <c r="R285" s="413"/>
      <c r="S285" s="413"/>
      <c r="T285" s="413"/>
      <c r="U285" s="413"/>
      <c r="V285" s="413"/>
      <c r="W285" s="413"/>
      <c r="X285" s="413"/>
      <c r="Y285" s="413"/>
      <c r="Z285" s="413"/>
      <c r="AA285" s="413"/>
      <c r="AB285" s="413"/>
      <c r="AC285" s="413"/>
      <c r="AD285" s="413"/>
      <c r="AE285" s="413"/>
      <c r="AF285" s="413"/>
      <c r="AG285" s="413"/>
      <c r="AH285" s="413"/>
      <c r="AI285" s="413"/>
      <c r="AJ285" s="413"/>
      <c r="AK285" s="413"/>
      <c r="AL285" s="413"/>
      <c r="AM285" s="413"/>
      <c r="AN285" s="413"/>
      <c r="AO285" s="413"/>
      <c r="AP285" s="413"/>
      <c r="AQ285" s="413"/>
      <c r="AR285" s="413"/>
      <c r="AS285" s="413"/>
      <c r="AT285" s="413"/>
      <c r="AU285" s="413"/>
      <c r="AV285" s="413"/>
      <c r="AW285" s="413"/>
      <c r="AX285" s="413"/>
      <c r="AY285" s="413"/>
      <c r="AZ285" s="413"/>
      <c r="BA285" s="413"/>
      <c r="BB285" s="413"/>
      <c r="BC285" s="413"/>
      <c r="BD285" s="413"/>
      <c r="BE285" s="413"/>
      <c r="BF285" s="413"/>
      <c r="BG285" s="413"/>
      <c r="BH285" s="413"/>
      <c r="BI285" s="413"/>
      <c r="BJ285" s="413"/>
      <c r="BK285" s="413"/>
      <c r="BL285" s="413"/>
      <c r="BM285" s="413"/>
      <c r="BN285" s="413"/>
      <c r="BO285" s="413"/>
      <c r="BP285" s="413"/>
      <c r="BQ285" s="413"/>
      <c r="BR285" s="413"/>
      <c r="BS285" s="413"/>
      <c r="BT285" s="413"/>
      <c r="BU285" s="413"/>
      <c r="BV285" s="413"/>
      <c r="BW285" s="413"/>
      <c r="BX285" s="413"/>
      <c r="BY285" s="413"/>
      <c r="BZ285" s="413"/>
      <c r="CA285" s="413"/>
      <c r="CB285" s="413"/>
    </row>
    <row r="286" spans="1:80" x14ac:dyDescent="0.25">
      <c r="A286" s="297"/>
      <c r="B286" s="297"/>
      <c r="C286" s="298"/>
      <c r="D286" s="299"/>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c r="AA286" s="300"/>
      <c r="AB286" s="300"/>
      <c r="AC286" s="300"/>
      <c r="AD286" s="300"/>
      <c r="AE286" s="300"/>
      <c r="AF286" s="300"/>
      <c r="AG286" s="300"/>
      <c r="AH286" s="300"/>
      <c r="AI286" s="300"/>
      <c r="AJ286" s="300"/>
      <c r="AK286" s="300"/>
      <c r="AL286" s="300"/>
      <c r="AM286" s="300"/>
      <c r="AN286" s="300"/>
      <c r="AO286" s="300"/>
      <c r="AP286" s="300"/>
      <c r="AQ286" s="300"/>
      <c r="AR286" s="300"/>
      <c r="AS286" s="300"/>
      <c r="AT286" s="300"/>
      <c r="AU286" s="300"/>
      <c r="AV286" s="300"/>
      <c r="AW286" s="300"/>
      <c r="AX286" s="300"/>
      <c r="AY286" s="300"/>
      <c r="AZ286" s="300"/>
      <c r="BA286" s="300"/>
      <c r="BB286" s="300"/>
      <c r="BC286" s="300"/>
      <c r="BD286" s="300"/>
      <c r="BE286" s="300"/>
      <c r="BF286" s="300"/>
      <c r="BG286" s="300"/>
      <c r="BH286" s="300"/>
      <c r="BI286" s="300"/>
      <c r="BJ286" s="300"/>
      <c r="BK286" s="300"/>
      <c r="BL286" s="300"/>
      <c r="BM286" s="300"/>
      <c r="BN286" s="300"/>
      <c r="BO286" s="300"/>
      <c r="BP286" s="300"/>
      <c r="BQ286" s="300"/>
      <c r="BR286" s="300"/>
      <c r="BS286" s="300"/>
      <c r="BT286" s="301"/>
      <c r="BU286" s="301"/>
      <c r="BV286" s="301"/>
      <c r="BW286" s="301"/>
      <c r="BX286" s="301"/>
      <c r="BY286" s="301"/>
      <c r="BZ286" s="301"/>
      <c r="CA286" s="301"/>
      <c r="CB286" s="301"/>
    </row>
    <row r="287" spans="1:80" x14ac:dyDescent="0.25">
      <c r="A287" s="297"/>
      <c r="B287" s="297"/>
      <c r="C287" s="298"/>
      <c r="D287" s="299"/>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0"/>
      <c r="AE287" s="300"/>
      <c r="AF287" s="300"/>
      <c r="AG287" s="300"/>
      <c r="AH287" s="300"/>
      <c r="AI287" s="300"/>
      <c r="AJ287" s="300"/>
      <c r="AK287" s="300"/>
      <c r="AL287" s="300"/>
      <c r="AM287" s="300"/>
      <c r="AN287" s="300"/>
      <c r="AO287" s="300"/>
      <c r="AP287" s="300"/>
      <c r="AQ287" s="300"/>
      <c r="AR287" s="300"/>
      <c r="AS287" s="300"/>
      <c r="AT287" s="300"/>
      <c r="AU287" s="300"/>
      <c r="AV287" s="300"/>
      <c r="AW287" s="300"/>
      <c r="AX287" s="300"/>
      <c r="AY287" s="300"/>
      <c r="AZ287" s="300"/>
      <c r="BA287" s="300"/>
      <c r="BB287" s="300"/>
      <c r="BC287" s="300"/>
      <c r="BD287" s="300"/>
      <c r="BE287" s="300"/>
      <c r="BF287" s="300"/>
      <c r="BG287" s="300"/>
      <c r="BH287" s="300"/>
      <c r="BI287" s="300"/>
      <c r="BJ287" s="300"/>
      <c r="BK287" s="300"/>
      <c r="BL287" s="300"/>
      <c r="BM287" s="300"/>
      <c r="BN287" s="300"/>
      <c r="BO287" s="300"/>
      <c r="BP287" s="300"/>
      <c r="BQ287" s="300"/>
      <c r="BR287" s="300"/>
      <c r="BS287" s="300"/>
      <c r="BT287" s="300"/>
      <c r="BU287" s="300"/>
      <c r="BV287" s="300"/>
      <c r="BW287" s="300"/>
      <c r="BX287" s="300"/>
      <c r="BY287" s="300"/>
      <c r="BZ287" s="300"/>
      <c r="CA287" s="300"/>
      <c r="CB287" s="300"/>
    </row>
    <row r="288" spans="1:80" x14ac:dyDescent="0.25">
      <c r="A288" s="297"/>
      <c r="B288" s="297"/>
      <c r="C288" s="298"/>
      <c r="D288" s="299"/>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c r="AA288" s="300"/>
      <c r="AB288" s="300"/>
      <c r="AC288" s="300"/>
      <c r="AD288" s="300"/>
      <c r="AE288" s="300"/>
      <c r="AF288" s="300"/>
      <c r="AG288" s="300"/>
      <c r="AH288" s="300"/>
      <c r="AI288" s="300"/>
      <c r="AJ288" s="300"/>
      <c r="AK288" s="300"/>
      <c r="AL288" s="300"/>
      <c r="AM288" s="300"/>
      <c r="AN288" s="300"/>
      <c r="AO288" s="300"/>
      <c r="AP288" s="300"/>
      <c r="AQ288" s="300"/>
      <c r="AR288" s="300"/>
      <c r="AS288" s="300"/>
      <c r="AT288" s="300"/>
      <c r="AU288" s="300"/>
      <c r="AV288" s="300"/>
      <c r="AW288" s="300"/>
      <c r="AX288" s="300"/>
      <c r="AY288" s="300"/>
      <c r="AZ288" s="300"/>
      <c r="BA288" s="300"/>
      <c r="BB288" s="300"/>
      <c r="BC288" s="300"/>
      <c r="BD288" s="300"/>
      <c r="BE288" s="300"/>
      <c r="BF288" s="300"/>
      <c r="BG288" s="300"/>
      <c r="BH288" s="300"/>
      <c r="BI288" s="300"/>
      <c r="BJ288" s="300"/>
      <c r="BK288" s="300"/>
      <c r="BL288" s="300"/>
      <c r="BM288" s="300"/>
      <c r="BN288" s="300"/>
      <c r="BO288" s="300"/>
      <c r="BP288" s="300"/>
      <c r="BQ288" s="300"/>
      <c r="BR288" s="300"/>
      <c r="BS288" s="300"/>
    </row>
    <row r="289" spans="1:80" x14ac:dyDescent="0.25">
      <c r="A289" s="297"/>
      <c r="B289" s="297"/>
      <c r="C289" s="298"/>
      <c r="D289" s="299"/>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c r="AA289" s="300"/>
      <c r="AB289" s="300"/>
      <c r="AC289" s="300"/>
      <c r="AD289" s="300"/>
      <c r="AE289" s="300"/>
      <c r="AF289" s="300"/>
      <c r="AG289" s="300"/>
      <c r="AH289" s="300"/>
      <c r="AI289" s="300"/>
      <c r="AJ289" s="300"/>
      <c r="AK289" s="300"/>
      <c r="AL289" s="300"/>
      <c r="AM289" s="300"/>
      <c r="AN289" s="300"/>
      <c r="AO289" s="300"/>
      <c r="AP289" s="300"/>
      <c r="AQ289" s="300"/>
      <c r="AR289" s="300"/>
      <c r="AS289" s="300"/>
      <c r="AT289" s="300"/>
      <c r="AU289" s="300"/>
      <c r="AV289" s="300"/>
      <c r="AW289" s="300"/>
      <c r="AX289" s="300"/>
      <c r="AY289" s="300"/>
      <c r="AZ289" s="300"/>
      <c r="BA289" s="300"/>
      <c r="BB289" s="300"/>
      <c r="BC289" s="300"/>
      <c r="BD289" s="300"/>
      <c r="BE289" s="300"/>
      <c r="BF289" s="300"/>
      <c r="BG289" s="300"/>
      <c r="BH289" s="300"/>
      <c r="BI289" s="300"/>
      <c r="BJ289" s="300"/>
      <c r="BK289" s="300"/>
      <c r="BL289" s="300"/>
      <c r="BM289" s="300"/>
      <c r="BN289" s="300"/>
      <c r="BO289" s="300"/>
      <c r="BP289" s="300"/>
      <c r="BQ289" s="300"/>
      <c r="BR289" s="300"/>
      <c r="BS289" s="300"/>
      <c r="BT289" s="300"/>
      <c r="BU289" s="300"/>
      <c r="BV289" s="300"/>
      <c r="BW289" s="300"/>
      <c r="BX289" s="300"/>
      <c r="BY289" s="300"/>
      <c r="BZ289" s="300"/>
      <c r="CA289" s="300"/>
      <c r="CB289" s="300"/>
    </row>
    <row r="290" spans="1:80" x14ac:dyDescent="0.25">
      <c r="A290" s="303"/>
      <c r="B290" s="303"/>
      <c r="C290" s="303"/>
      <c r="D290" s="303"/>
      <c r="E290" s="408"/>
      <c r="F290" s="408"/>
      <c r="G290" s="408"/>
      <c r="H290" s="408"/>
      <c r="I290" s="408"/>
      <c r="J290" s="408"/>
      <c r="K290" s="408"/>
      <c r="L290" s="408"/>
      <c r="M290" s="408"/>
      <c r="N290" s="408"/>
      <c r="O290" s="408"/>
      <c r="P290" s="408"/>
      <c r="Q290" s="408"/>
      <c r="R290" s="408"/>
      <c r="S290" s="408"/>
      <c r="T290" s="408"/>
      <c r="U290" s="408"/>
      <c r="V290" s="408"/>
      <c r="W290" s="408"/>
      <c r="X290" s="408"/>
      <c r="Y290" s="408"/>
      <c r="Z290" s="408"/>
      <c r="AA290" s="408"/>
      <c r="AB290" s="408"/>
      <c r="AC290" s="408"/>
      <c r="AD290" s="408"/>
      <c r="AE290" s="408"/>
      <c r="AF290" s="408"/>
      <c r="AG290" s="408"/>
      <c r="AH290" s="408"/>
      <c r="AI290" s="408"/>
      <c r="AJ290" s="408"/>
      <c r="AK290" s="408"/>
      <c r="AL290" s="408"/>
      <c r="AM290" s="408"/>
      <c r="AN290" s="408"/>
      <c r="AO290" s="408"/>
      <c r="AP290" s="408"/>
      <c r="AQ290" s="408"/>
      <c r="AR290" s="408"/>
      <c r="AS290" s="408"/>
      <c r="AT290" s="408"/>
      <c r="AU290" s="408"/>
      <c r="AV290" s="408"/>
      <c r="AW290" s="408"/>
      <c r="AX290" s="408"/>
      <c r="AY290" s="408"/>
      <c r="AZ290" s="408"/>
      <c r="BA290" s="408"/>
      <c r="BB290" s="408"/>
      <c r="BC290" s="408"/>
      <c r="BD290" s="408"/>
      <c r="BE290" s="408"/>
      <c r="BF290" s="408"/>
      <c r="BG290" s="408"/>
      <c r="BH290" s="408"/>
      <c r="BI290" s="408"/>
      <c r="BJ290" s="408"/>
      <c r="BK290" s="408"/>
      <c r="BL290" s="408"/>
      <c r="BM290" s="408"/>
      <c r="BN290" s="408"/>
      <c r="BO290" s="408"/>
      <c r="BP290" s="408"/>
      <c r="BQ290" s="408"/>
      <c r="BR290" s="408"/>
      <c r="BS290" s="408"/>
      <c r="BT290" s="408"/>
      <c r="BU290" s="408"/>
      <c r="BV290" s="408"/>
      <c r="BW290" s="408"/>
      <c r="BX290" s="408"/>
      <c r="BY290" s="408"/>
      <c r="BZ290" s="408"/>
      <c r="CA290" s="408"/>
      <c r="CB290" s="408"/>
    </row>
    <row r="291" spans="1:80" ht="30" x14ac:dyDescent="0.25">
      <c r="A291" s="1073" t="s">
        <v>823</v>
      </c>
      <c r="B291" s="1073"/>
      <c r="C291" s="1139" t="s">
        <v>605</v>
      </c>
      <c r="D291" s="1137" t="e">
        <f>+(D157+D187-D4-D5-D6)/(D183+D160+D16-D184-D159)</f>
        <v>#DIV/0!</v>
      </c>
      <c r="E291" s="1137" t="e">
        <f t="shared" ref="E291:AT291" si="0">+(E157+E187-E4-E5-E6)/(E183+E160+E16-E184-E159)</f>
        <v>#DIV/0!</v>
      </c>
      <c r="F291" s="1137">
        <f t="shared" si="0"/>
        <v>4.2186438885903066E-2</v>
      </c>
      <c r="G291" s="1137" t="e">
        <f t="shared" si="0"/>
        <v>#DIV/0!</v>
      </c>
      <c r="H291" s="1137" t="e">
        <f t="shared" si="0"/>
        <v>#DIV/0!</v>
      </c>
      <c r="I291" s="1137">
        <f t="shared" si="0"/>
        <v>0.63546345139412208</v>
      </c>
      <c r="J291" s="1137">
        <f t="shared" si="0"/>
        <v>0.38170074193496006</v>
      </c>
      <c r="K291" s="1137" t="e">
        <f t="shared" si="0"/>
        <v>#DIV/0!</v>
      </c>
      <c r="L291" s="1137" t="e">
        <f t="shared" si="0"/>
        <v>#DIV/0!</v>
      </c>
      <c r="M291" s="1137" t="e">
        <f t="shared" si="0"/>
        <v>#DIV/0!</v>
      </c>
      <c r="N291" s="1137" t="e">
        <f t="shared" si="0"/>
        <v>#DIV/0!</v>
      </c>
      <c r="O291" s="1137" t="e">
        <f t="shared" si="0"/>
        <v>#DIV/0!</v>
      </c>
      <c r="P291" s="1137" t="e">
        <f t="shared" si="0"/>
        <v>#DIV/0!</v>
      </c>
      <c r="Q291" s="1137" t="e">
        <f t="shared" si="0"/>
        <v>#DIV/0!</v>
      </c>
      <c r="R291" s="1137">
        <f t="shared" si="0"/>
        <v>11.239294075274627</v>
      </c>
      <c r="S291" s="1137" t="e">
        <f t="shared" si="0"/>
        <v>#DIV/0!</v>
      </c>
      <c r="T291" s="1137">
        <f t="shared" si="0"/>
        <v>1.1449953698111688</v>
      </c>
      <c r="U291" s="1137">
        <f t="shared" si="0"/>
        <v>1.9991107811081241</v>
      </c>
      <c r="V291" s="1137" t="e">
        <f t="shared" si="0"/>
        <v>#DIV/0!</v>
      </c>
      <c r="W291" s="1137">
        <f t="shared" si="0"/>
        <v>0.5038144542460532</v>
      </c>
      <c r="X291" s="1137" t="e">
        <f t="shared" si="0"/>
        <v>#DIV/0!</v>
      </c>
      <c r="Y291" s="1137">
        <f t="shared" si="0"/>
        <v>16.423805638654699</v>
      </c>
      <c r="Z291" s="1137">
        <f t="shared" si="0"/>
        <v>1.716055007091932</v>
      </c>
      <c r="AA291" s="1137" t="e">
        <f t="shared" si="0"/>
        <v>#DIV/0!</v>
      </c>
      <c r="AB291" s="1137">
        <f t="shared" si="0"/>
        <v>0.27971854919202499</v>
      </c>
      <c r="AC291" s="1137">
        <f t="shared" si="0"/>
        <v>2.1798747736410791</v>
      </c>
      <c r="AD291" s="1137">
        <f t="shared" si="0"/>
        <v>0.14187434239086447</v>
      </c>
      <c r="AE291" s="1137">
        <f t="shared" si="0"/>
        <v>-9.0219866452557473E-2</v>
      </c>
      <c r="AF291" s="1137" t="e">
        <f t="shared" si="0"/>
        <v>#DIV/0!</v>
      </c>
      <c r="AG291" s="1137">
        <f t="shared" si="0"/>
        <v>9.4374782305816787</v>
      </c>
      <c r="AH291" s="1137" t="e">
        <f t="shared" si="0"/>
        <v>#DIV/0!</v>
      </c>
      <c r="AI291" s="1137">
        <f t="shared" si="0"/>
        <v>0.78799558752078758</v>
      </c>
      <c r="AJ291" s="1137">
        <f t="shared" si="0"/>
        <v>1.7820106854740148</v>
      </c>
      <c r="AK291" s="1137">
        <f t="shared" si="0"/>
        <v>0.19186165893965448</v>
      </c>
      <c r="AL291" s="1137">
        <f t="shared" si="0"/>
        <v>7.1393246646976847</v>
      </c>
      <c r="AM291" s="1137">
        <f t="shared" si="0"/>
        <v>0.3262678380514108</v>
      </c>
      <c r="AN291" s="1137">
        <f t="shared" si="0"/>
        <v>4.0980759139408782</v>
      </c>
      <c r="AO291" s="1137">
        <f t="shared" si="0"/>
        <v>4.8497661029147174</v>
      </c>
      <c r="AP291" s="1137">
        <f t="shared" si="0"/>
        <v>2.2440715192697072</v>
      </c>
      <c r="AQ291" s="1137">
        <f t="shared" si="0"/>
        <v>0.24101395838280937</v>
      </c>
      <c r="AR291" s="1137" t="e">
        <f t="shared" si="0"/>
        <v>#DIV/0!</v>
      </c>
      <c r="AS291" s="1137" t="e">
        <f t="shared" si="0"/>
        <v>#DIV/0!</v>
      </c>
      <c r="AT291" s="1137">
        <f t="shared" si="0"/>
        <v>2.4234613142333639</v>
      </c>
      <c r="AU291" s="408"/>
      <c r="AV291" s="408"/>
      <c r="AW291" s="408"/>
      <c r="AX291" s="408"/>
      <c r="AY291" s="408"/>
      <c r="AZ291" s="408"/>
      <c r="BA291" s="408"/>
      <c r="BB291" s="408"/>
      <c r="BC291" s="408"/>
      <c r="BD291" s="408"/>
      <c r="BE291" s="408"/>
      <c r="BF291" s="408"/>
      <c r="BG291" s="408"/>
      <c r="BH291" s="408"/>
      <c r="BI291" s="408"/>
      <c r="BJ291" s="408"/>
      <c r="BK291" s="408"/>
      <c r="BL291" s="408"/>
      <c r="BM291" s="408"/>
      <c r="BN291" s="408"/>
      <c r="BO291" s="408"/>
      <c r="BP291" s="408"/>
      <c r="BQ291" s="408"/>
      <c r="BR291" s="408"/>
      <c r="BS291" s="408"/>
      <c r="BT291" s="408"/>
      <c r="BU291" s="408"/>
      <c r="BV291" s="408"/>
      <c r="BW291" s="408"/>
      <c r="BX291" s="408"/>
      <c r="BY291" s="408"/>
      <c r="BZ291" s="408"/>
      <c r="CA291" s="408"/>
      <c r="CB291" s="408"/>
    </row>
    <row r="292" spans="1:80" x14ac:dyDescent="0.25">
      <c r="A292" s="303"/>
      <c r="B292" s="303"/>
      <c r="C292" s="416"/>
      <c r="D292" s="303"/>
      <c r="E292" s="409"/>
      <c r="F292" s="409"/>
      <c r="G292" s="409"/>
      <c r="H292" s="409"/>
      <c r="I292" s="409"/>
      <c r="J292" s="409"/>
      <c r="K292" s="409"/>
      <c r="L292" s="409"/>
      <c r="M292" s="409"/>
      <c r="N292" s="409"/>
      <c r="O292" s="409"/>
      <c r="P292" s="409"/>
      <c r="Q292" s="409"/>
      <c r="R292" s="409"/>
      <c r="S292" s="409"/>
      <c r="T292" s="409"/>
      <c r="U292" s="409"/>
      <c r="V292" s="409"/>
      <c r="W292" s="409"/>
      <c r="X292" s="409"/>
      <c r="Y292" s="409"/>
      <c r="Z292" s="409"/>
      <c r="AA292" s="409"/>
      <c r="AB292" s="409"/>
      <c r="AC292" s="409"/>
      <c r="AD292" s="409"/>
      <c r="AE292" s="409"/>
      <c r="AF292" s="409"/>
      <c r="AG292" s="409"/>
      <c r="AH292" s="409"/>
      <c r="AI292" s="409"/>
      <c r="AJ292" s="409"/>
      <c r="AK292" s="409"/>
      <c r="AL292" s="409"/>
      <c r="AM292" s="409"/>
      <c r="AN292" s="409"/>
      <c r="AO292" s="409"/>
      <c r="AP292" s="409"/>
      <c r="AQ292" s="409"/>
      <c r="AR292" s="409"/>
      <c r="AS292" s="409"/>
      <c r="AT292" s="409"/>
      <c r="AU292" s="409"/>
      <c r="AV292" s="409"/>
      <c r="AW292" s="409"/>
      <c r="AX292" s="409"/>
      <c r="AY292" s="409"/>
      <c r="AZ292" s="409"/>
      <c r="BA292" s="409"/>
      <c r="BB292" s="409"/>
      <c r="BC292" s="409"/>
      <c r="BD292" s="409"/>
      <c r="BE292" s="409"/>
      <c r="BF292" s="409"/>
      <c r="BG292" s="409"/>
      <c r="BH292" s="409"/>
      <c r="BI292" s="409"/>
      <c r="BJ292" s="409"/>
      <c r="BK292" s="409"/>
      <c r="BL292" s="409"/>
      <c r="BM292" s="409"/>
      <c r="BN292" s="409"/>
      <c r="BO292" s="409"/>
      <c r="BP292" s="409"/>
      <c r="BQ292" s="409"/>
      <c r="BR292" s="409"/>
      <c r="BS292" s="409"/>
      <c r="BT292" s="409"/>
      <c r="BU292" s="409"/>
      <c r="BV292" s="409"/>
      <c r="BW292" s="409"/>
      <c r="BX292" s="409"/>
      <c r="BY292" s="409"/>
      <c r="BZ292" s="409"/>
      <c r="CA292" s="409"/>
      <c r="CB292" s="409"/>
    </row>
    <row r="293" spans="1:80" x14ac:dyDescent="0.25">
      <c r="A293" s="303"/>
      <c r="B293" s="303"/>
      <c r="C293" s="417"/>
      <c r="D293" s="303"/>
      <c r="E293" s="418"/>
      <c r="F293" s="418"/>
      <c r="G293" s="418"/>
      <c r="H293" s="418"/>
      <c r="I293" s="418"/>
      <c r="J293" s="418"/>
      <c r="K293" s="418"/>
      <c r="L293" s="418"/>
      <c r="M293" s="418"/>
      <c r="N293" s="418"/>
      <c r="O293" s="418"/>
      <c r="P293" s="418"/>
      <c r="Q293" s="418"/>
      <c r="R293" s="418"/>
      <c r="S293" s="418"/>
      <c r="T293" s="418"/>
      <c r="U293" s="418"/>
      <c r="V293" s="418"/>
      <c r="W293" s="418"/>
      <c r="X293" s="418"/>
      <c r="Y293" s="418"/>
      <c r="Z293" s="418"/>
      <c r="AA293" s="418"/>
      <c r="AB293" s="418"/>
      <c r="AC293" s="418"/>
      <c r="AD293" s="418"/>
      <c r="AE293" s="418"/>
      <c r="AF293" s="418"/>
      <c r="AG293" s="418"/>
      <c r="AH293" s="418"/>
      <c r="AI293" s="418"/>
      <c r="AJ293" s="418"/>
      <c r="AK293" s="418"/>
      <c r="AL293" s="418"/>
      <c r="AM293" s="418"/>
      <c r="AN293" s="418"/>
      <c r="AO293" s="418"/>
      <c r="AP293" s="418"/>
      <c r="AQ293" s="418"/>
      <c r="AR293" s="418"/>
      <c r="AS293" s="418"/>
      <c r="AT293" s="418"/>
      <c r="AU293" s="418"/>
      <c r="AV293" s="418"/>
      <c r="AW293" s="418"/>
      <c r="AX293" s="418"/>
      <c r="AY293" s="418"/>
      <c r="AZ293" s="418"/>
      <c r="BA293" s="418"/>
      <c r="BB293" s="418"/>
      <c r="BC293" s="418"/>
      <c r="BD293" s="418"/>
      <c r="BE293" s="418"/>
      <c r="BF293" s="418"/>
      <c r="BG293" s="418"/>
      <c r="BH293" s="418"/>
      <c r="BI293" s="418"/>
      <c r="BJ293" s="418"/>
      <c r="BK293" s="418"/>
      <c r="BL293" s="418"/>
      <c r="BM293" s="418"/>
      <c r="BN293" s="418"/>
      <c r="BO293" s="418"/>
      <c r="BP293" s="418"/>
      <c r="BQ293" s="418"/>
      <c r="BR293" s="418"/>
      <c r="BS293" s="418"/>
      <c r="BT293" s="418"/>
      <c r="BU293" s="418"/>
      <c r="BV293" s="418"/>
      <c r="BW293" s="418"/>
      <c r="BX293" s="418"/>
      <c r="BY293" s="418"/>
      <c r="BZ293" s="418"/>
      <c r="CA293" s="418"/>
      <c r="CB293" s="418"/>
    </row>
    <row r="294" spans="1:80" x14ac:dyDescent="0.25">
      <c r="A294" s="303"/>
      <c r="B294" s="303"/>
      <c r="C294" s="303"/>
      <c r="D294" s="303"/>
      <c r="E294" s="418"/>
      <c r="F294" s="418"/>
      <c r="G294" s="418"/>
      <c r="H294" s="418"/>
      <c r="I294" s="418"/>
      <c r="J294" s="418"/>
      <c r="K294" s="418"/>
      <c r="L294" s="418"/>
      <c r="M294" s="418"/>
      <c r="N294" s="418"/>
      <c r="O294" s="418"/>
      <c r="P294" s="418"/>
      <c r="Q294" s="418"/>
      <c r="R294" s="418"/>
      <c r="S294" s="418"/>
      <c r="T294" s="418"/>
      <c r="U294" s="418"/>
      <c r="V294" s="418"/>
      <c r="W294" s="418"/>
      <c r="X294" s="418"/>
      <c r="Y294" s="418"/>
      <c r="Z294" s="418"/>
      <c r="AA294" s="418"/>
      <c r="AB294" s="418"/>
      <c r="AC294" s="418"/>
      <c r="AD294" s="418"/>
      <c r="AE294" s="418"/>
      <c r="AF294" s="418"/>
      <c r="AG294" s="418"/>
      <c r="AH294" s="418"/>
      <c r="AI294" s="418"/>
      <c r="AJ294" s="418"/>
      <c r="AK294" s="418"/>
      <c r="AL294" s="418"/>
      <c r="AM294" s="418"/>
      <c r="AN294" s="418"/>
      <c r="AO294" s="418"/>
      <c r="AP294" s="418"/>
      <c r="AQ294" s="418"/>
      <c r="AR294" s="418"/>
      <c r="AS294" s="418"/>
      <c r="AT294" s="418"/>
      <c r="AU294" s="418"/>
      <c r="AV294" s="418"/>
      <c r="AW294" s="418"/>
      <c r="AX294" s="418"/>
      <c r="AY294" s="418"/>
      <c r="AZ294" s="418"/>
      <c r="BA294" s="418"/>
      <c r="BB294" s="418"/>
      <c r="BC294" s="418"/>
      <c r="BD294" s="418"/>
      <c r="BE294" s="418"/>
      <c r="BF294" s="418"/>
      <c r="BG294" s="418"/>
      <c r="BH294" s="418"/>
      <c r="BI294" s="418"/>
      <c r="BJ294" s="418"/>
      <c r="BK294" s="418"/>
      <c r="BL294" s="418"/>
      <c r="BM294" s="418"/>
      <c r="BN294" s="418"/>
      <c r="BO294" s="418"/>
      <c r="BP294" s="418"/>
      <c r="BQ294" s="418"/>
      <c r="BR294" s="418"/>
      <c r="BS294" s="418"/>
      <c r="BT294" s="418"/>
      <c r="BU294" s="418"/>
      <c r="BV294" s="418"/>
      <c r="BW294" s="418"/>
      <c r="BX294" s="418"/>
      <c r="BY294" s="418"/>
      <c r="BZ294" s="418"/>
      <c r="CA294" s="418"/>
      <c r="CB294" s="418"/>
    </row>
    <row r="295" spans="1:80" x14ac:dyDescent="0.25">
      <c r="A295" s="303"/>
      <c r="C295" s="303"/>
      <c r="E295" s="413"/>
      <c r="F295" s="413"/>
      <c r="G295" s="413"/>
      <c r="H295" s="413"/>
      <c r="I295" s="413"/>
      <c r="J295" s="413"/>
      <c r="K295" s="413"/>
      <c r="L295" s="413"/>
      <c r="M295" s="413"/>
      <c r="N295" s="413"/>
      <c r="O295" s="413"/>
      <c r="P295" s="413"/>
      <c r="Q295" s="413"/>
      <c r="R295" s="413"/>
      <c r="S295" s="413"/>
      <c r="T295" s="413"/>
      <c r="U295" s="413"/>
      <c r="V295" s="413"/>
      <c r="W295" s="413"/>
      <c r="X295" s="413"/>
      <c r="Y295" s="413"/>
      <c r="Z295" s="413"/>
      <c r="AA295" s="413"/>
      <c r="AB295" s="413"/>
      <c r="AC295" s="413"/>
      <c r="AD295" s="413"/>
      <c r="AE295" s="413"/>
      <c r="AF295" s="413"/>
      <c r="AG295" s="413"/>
      <c r="AH295" s="413"/>
      <c r="AI295" s="413"/>
      <c r="AJ295" s="413"/>
      <c r="AK295" s="413"/>
      <c r="AL295" s="413"/>
      <c r="AM295" s="413"/>
      <c r="AN295" s="413"/>
      <c r="AO295" s="413"/>
      <c r="AP295" s="413"/>
      <c r="AQ295" s="413"/>
      <c r="AR295" s="413"/>
      <c r="AS295" s="413"/>
      <c r="AT295" s="413"/>
      <c r="AU295" s="413"/>
      <c r="AV295" s="413"/>
      <c r="AW295" s="413"/>
      <c r="AX295" s="413"/>
      <c r="AY295" s="413"/>
      <c r="AZ295" s="413"/>
      <c r="BA295" s="413"/>
      <c r="BB295" s="413"/>
      <c r="BC295" s="413"/>
      <c r="BD295" s="413"/>
      <c r="BE295" s="413"/>
      <c r="BF295" s="413"/>
      <c r="BG295" s="413"/>
      <c r="BH295" s="413"/>
      <c r="BI295" s="413"/>
      <c r="BJ295" s="413"/>
      <c r="BK295" s="413"/>
      <c r="BL295" s="413"/>
      <c r="BM295" s="413"/>
      <c r="BN295" s="413"/>
      <c r="BO295" s="413"/>
      <c r="BP295" s="413"/>
      <c r="BQ295" s="413"/>
      <c r="BR295" s="413"/>
      <c r="BS295" s="413"/>
      <c r="BT295" s="413"/>
      <c r="BU295" s="413"/>
      <c r="BV295" s="413"/>
      <c r="BW295" s="413"/>
      <c r="BX295" s="413"/>
      <c r="BY295" s="413"/>
      <c r="BZ295" s="413"/>
      <c r="CA295" s="413"/>
      <c r="CB295" s="413"/>
    </row>
    <row r="296" spans="1:80" x14ac:dyDescent="0.25">
      <c r="A296" s="303"/>
      <c r="C296" s="303"/>
      <c r="E296" s="414"/>
      <c r="F296" s="414"/>
      <c r="G296" s="414"/>
      <c r="H296" s="414"/>
      <c r="I296" s="414"/>
      <c r="J296" s="414"/>
      <c r="K296" s="414"/>
      <c r="L296" s="414"/>
      <c r="M296" s="414"/>
      <c r="N296" s="414"/>
      <c r="O296" s="414"/>
      <c r="P296" s="414"/>
      <c r="Q296" s="414"/>
      <c r="R296" s="414"/>
      <c r="S296" s="414"/>
      <c r="T296" s="414"/>
      <c r="U296" s="414"/>
      <c r="V296" s="414"/>
      <c r="W296" s="414"/>
      <c r="X296" s="414"/>
      <c r="Y296" s="414"/>
      <c r="Z296" s="414"/>
      <c r="AA296" s="414"/>
      <c r="AB296" s="414"/>
      <c r="AC296" s="414"/>
      <c r="AD296" s="414"/>
      <c r="AE296" s="414"/>
      <c r="AF296" s="414"/>
      <c r="AG296" s="414"/>
      <c r="AH296" s="414"/>
      <c r="AI296" s="414"/>
      <c r="AJ296" s="414"/>
      <c r="AK296" s="414"/>
      <c r="AL296" s="414"/>
      <c r="AM296" s="414"/>
      <c r="AN296" s="414"/>
      <c r="AO296" s="414"/>
      <c r="AP296" s="414"/>
      <c r="AQ296" s="414"/>
      <c r="AR296" s="414"/>
      <c r="AS296" s="414"/>
      <c r="AT296" s="414"/>
      <c r="AU296" s="414"/>
      <c r="AV296" s="414"/>
      <c r="AW296" s="414"/>
      <c r="AX296" s="414"/>
      <c r="AY296" s="414"/>
      <c r="AZ296" s="414"/>
      <c r="BA296" s="414"/>
      <c r="BB296" s="414"/>
      <c r="BC296" s="414"/>
      <c r="BD296" s="414"/>
      <c r="BE296" s="414"/>
      <c r="BF296" s="414"/>
      <c r="BG296" s="414"/>
      <c r="BH296" s="414"/>
      <c r="BI296" s="414"/>
      <c r="BJ296" s="414"/>
      <c r="BK296" s="414"/>
      <c r="BL296" s="414"/>
      <c r="BM296" s="414"/>
      <c r="BN296" s="414"/>
      <c r="BO296" s="414"/>
      <c r="BP296" s="414"/>
      <c r="BQ296" s="414"/>
      <c r="BR296" s="414"/>
      <c r="BS296" s="414"/>
      <c r="BT296" s="414"/>
      <c r="BU296" s="414"/>
      <c r="BV296" s="414"/>
      <c r="BW296" s="414"/>
      <c r="BX296" s="414"/>
      <c r="BY296" s="414"/>
      <c r="BZ296" s="414"/>
      <c r="CA296" s="414"/>
      <c r="CB296" s="414"/>
    </row>
    <row r="297" spans="1:80" x14ac:dyDescent="0.25">
      <c r="A297" s="303"/>
      <c r="C297" s="303"/>
      <c r="E297" s="414"/>
      <c r="F297" s="414"/>
      <c r="G297" s="414"/>
      <c r="H297" s="414"/>
      <c r="I297" s="414"/>
      <c r="J297" s="414"/>
      <c r="K297" s="414"/>
      <c r="L297" s="414"/>
      <c r="M297" s="414"/>
      <c r="N297" s="414"/>
      <c r="O297" s="414"/>
      <c r="P297" s="414"/>
      <c r="Q297" s="414"/>
      <c r="R297" s="414"/>
      <c r="S297" s="414"/>
      <c r="T297" s="414"/>
      <c r="U297" s="414"/>
      <c r="V297" s="414"/>
      <c r="W297" s="414"/>
      <c r="X297" s="414"/>
      <c r="Y297" s="414"/>
      <c r="Z297" s="414"/>
      <c r="AA297" s="414"/>
      <c r="AB297" s="414"/>
      <c r="AC297" s="414"/>
      <c r="AD297" s="414"/>
      <c r="AE297" s="414"/>
      <c r="AF297" s="414"/>
      <c r="AG297" s="414"/>
      <c r="AH297" s="414"/>
      <c r="AI297" s="414"/>
      <c r="AJ297" s="414"/>
      <c r="AK297" s="414"/>
      <c r="AL297" s="414"/>
      <c r="AM297" s="414"/>
      <c r="AN297" s="414"/>
      <c r="AO297" s="414"/>
      <c r="AP297" s="414"/>
      <c r="AQ297" s="414"/>
      <c r="AR297" s="414"/>
      <c r="AS297" s="414"/>
      <c r="AT297" s="414"/>
      <c r="AU297" s="414"/>
      <c r="AV297" s="414"/>
      <c r="AW297" s="414"/>
      <c r="AX297" s="414"/>
      <c r="AY297" s="414"/>
      <c r="AZ297" s="414"/>
      <c r="BA297" s="414"/>
      <c r="BB297" s="414"/>
      <c r="BC297" s="414"/>
      <c r="BD297" s="414"/>
      <c r="BE297" s="414"/>
      <c r="BF297" s="414"/>
      <c r="BG297" s="414"/>
      <c r="BH297" s="414"/>
      <c r="BI297" s="414"/>
      <c r="BJ297" s="414"/>
      <c r="BK297" s="414"/>
      <c r="BL297" s="414"/>
      <c r="BM297" s="414"/>
      <c r="BN297" s="414"/>
      <c r="BO297" s="414"/>
      <c r="BP297" s="414"/>
      <c r="BQ297" s="414"/>
      <c r="BR297" s="414"/>
      <c r="BS297" s="414"/>
      <c r="BT297" s="414"/>
      <c r="BU297" s="414"/>
      <c r="BV297" s="414"/>
      <c r="BW297" s="414"/>
      <c r="BX297" s="414"/>
      <c r="BY297" s="414"/>
      <c r="BZ297" s="414"/>
      <c r="CA297" s="414"/>
      <c r="CB297" s="414"/>
    </row>
    <row r="298" spans="1:80" x14ac:dyDescent="0.25">
      <c r="A298" s="303"/>
      <c r="C298" s="303"/>
      <c r="E298" s="414"/>
      <c r="F298" s="414"/>
      <c r="G298" s="414"/>
      <c r="H298" s="414"/>
      <c r="I298" s="414"/>
      <c r="J298" s="414"/>
      <c r="K298" s="414"/>
      <c r="L298" s="414"/>
      <c r="M298" s="414"/>
      <c r="N298" s="414"/>
      <c r="O298" s="414"/>
      <c r="P298" s="414"/>
      <c r="Q298" s="414"/>
      <c r="R298" s="414"/>
      <c r="S298" s="414"/>
      <c r="T298" s="414"/>
      <c r="U298" s="414"/>
      <c r="V298" s="414"/>
      <c r="W298" s="414"/>
      <c r="X298" s="414"/>
      <c r="Y298" s="414"/>
      <c r="Z298" s="414"/>
      <c r="AA298" s="414"/>
      <c r="AB298" s="414"/>
      <c r="AC298" s="414"/>
      <c r="AD298" s="414"/>
      <c r="AE298" s="414"/>
      <c r="AF298" s="414"/>
      <c r="AG298" s="414"/>
      <c r="AH298" s="414"/>
      <c r="AI298" s="414"/>
      <c r="AJ298" s="414"/>
      <c r="AK298" s="414"/>
      <c r="AL298" s="414"/>
      <c r="AM298" s="414"/>
      <c r="AN298" s="414"/>
      <c r="AO298" s="414"/>
      <c r="AP298" s="414"/>
      <c r="AQ298" s="414"/>
      <c r="AR298" s="414"/>
      <c r="AS298" s="414"/>
      <c r="AT298" s="414"/>
      <c r="AU298" s="414"/>
      <c r="AV298" s="414"/>
      <c r="AW298" s="414"/>
      <c r="AX298" s="414"/>
      <c r="AY298" s="414"/>
      <c r="AZ298" s="414"/>
      <c r="BA298" s="414"/>
      <c r="BB298" s="414"/>
      <c r="BC298" s="414"/>
      <c r="BD298" s="414"/>
      <c r="BE298" s="414"/>
      <c r="BF298" s="414"/>
      <c r="BG298" s="414"/>
      <c r="BH298" s="414"/>
      <c r="BI298" s="414"/>
      <c r="BJ298" s="414"/>
      <c r="BK298" s="414"/>
      <c r="BL298" s="414"/>
      <c r="BM298" s="414"/>
      <c r="BN298" s="414"/>
      <c r="BO298" s="414"/>
      <c r="BP298" s="414"/>
      <c r="BQ298" s="414"/>
      <c r="BR298" s="414"/>
      <c r="BS298" s="414"/>
      <c r="BT298" s="414"/>
      <c r="BU298" s="414"/>
      <c r="BV298" s="414"/>
      <c r="BW298" s="414"/>
      <c r="BX298" s="414"/>
      <c r="BY298" s="414"/>
      <c r="BZ298" s="414"/>
      <c r="CA298" s="414"/>
      <c r="CB298" s="414"/>
    </row>
    <row r="299" spans="1:80" x14ac:dyDescent="0.25">
      <c r="A299" s="303"/>
      <c r="E299" s="419"/>
      <c r="F299" s="419"/>
      <c r="G299" s="419"/>
      <c r="H299" s="419"/>
      <c r="I299" s="419"/>
      <c r="J299" s="419"/>
      <c r="K299" s="419"/>
      <c r="L299" s="419"/>
      <c r="M299" s="419"/>
      <c r="N299" s="419"/>
      <c r="O299" s="419"/>
      <c r="P299" s="419"/>
      <c r="Q299" s="419"/>
      <c r="R299" s="419"/>
      <c r="S299" s="419"/>
      <c r="T299" s="419"/>
      <c r="U299" s="419"/>
      <c r="V299" s="419"/>
      <c r="W299" s="419"/>
      <c r="X299" s="419"/>
      <c r="Y299" s="419"/>
      <c r="Z299" s="419"/>
      <c r="AA299" s="419"/>
      <c r="AB299" s="419"/>
      <c r="AC299" s="419"/>
      <c r="AD299" s="419"/>
      <c r="AE299" s="419"/>
      <c r="AF299" s="419"/>
      <c r="AG299" s="419"/>
      <c r="AH299" s="419"/>
      <c r="AI299" s="419"/>
      <c r="AJ299" s="419"/>
      <c r="AK299" s="419"/>
      <c r="AL299" s="419"/>
      <c r="AM299" s="419"/>
      <c r="AN299" s="419"/>
      <c r="AO299" s="419"/>
      <c r="AP299" s="419"/>
      <c r="AQ299" s="419"/>
      <c r="AR299" s="419"/>
      <c r="AS299" s="419"/>
      <c r="AT299" s="419"/>
      <c r="AU299" s="419"/>
      <c r="AV299" s="419"/>
      <c r="AW299" s="419"/>
      <c r="AX299" s="419"/>
      <c r="AY299" s="419"/>
      <c r="AZ299" s="419"/>
      <c r="BA299" s="419"/>
      <c r="BB299" s="419"/>
      <c r="BC299" s="419"/>
      <c r="BD299" s="419"/>
      <c r="BE299" s="419"/>
      <c r="BF299" s="419"/>
      <c r="BG299" s="419"/>
      <c r="BH299" s="419"/>
      <c r="BI299" s="419"/>
      <c r="BJ299" s="419"/>
      <c r="BK299" s="419"/>
      <c r="BL299" s="419"/>
      <c r="BM299" s="419"/>
      <c r="BN299" s="419"/>
      <c r="BO299" s="419"/>
      <c r="BP299" s="419"/>
      <c r="BQ299" s="419"/>
      <c r="BR299" s="419"/>
      <c r="BS299" s="419"/>
      <c r="BT299" s="419"/>
      <c r="BU299" s="419"/>
      <c r="BV299" s="419"/>
      <c r="BW299" s="419"/>
      <c r="BX299" s="419"/>
      <c r="BY299" s="419"/>
      <c r="BZ299" s="419"/>
      <c r="CA299" s="419"/>
      <c r="CB299" s="419"/>
    </row>
    <row r="300" spans="1:80" x14ac:dyDescent="0.25">
      <c r="A300" s="303"/>
      <c r="C300" s="317"/>
      <c r="E300" s="407"/>
      <c r="F300" s="407"/>
      <c r="G300" s="407"/>
      <c r="H300" s="407"/>
      <c r="I300" s="407"/>
      <c r="J300" s="407"/>
      <c r="K300" s="407"/>
      <c r="L300" s="407"/>
      <c r="M300" s="407"/>
      <c r="N300" s="407"/>
      <c r="O300" s="407"/>
      <c r="P300" s="407"/>
      <c r="Q300" s="407"/>
      <c r="R300" s="407"/>
      <c r="S300" s="407"/>
      <c r="T300" s="407"/>
      <c r="U300" s="407"/>
      <c r="V300" s="407"/>
      <c r="W300" s="407"/>
      <c r="X300" s="407"/>
      <c r="Y300" s="407"/>
      <c r="Z300" s="407"/>
      <c r="AA300" s="407"/>
      <c r="AB300" s="407"/>
      <c r="AC300" s="407"/>
      <c r="AD300" s="407"/>
      <c r="AE300" s="407"/>
      <c r="AF300" s="407"/>
      <c r="AG300" s="407"/>
      <c r="AH300" s="407"/>
      <c r="AI300" s="407"/>
      <c r="AJ300" s="407"/>
      <c r="AK300" s="407"/>
      <c r="AL300" s="407"/>
      <c r="AM300" s="407"/>
      <c r="AN300" s="407"/>
      <c r="AO300" s="407"/>
      <c r="AP300" s="407"/>
      <c r="AQ300" s="407"/>
      <c r="AR300" s="407"/>
      <c r="AS300" s="407"/>
      <c r="AT300" s="407"/>
      <c r="AU300" s="407"/>
      <c r="AV300" s="407"/>
      <c r="AW300" s="407"/>
      <c r="AX300" s="407"/>
      <c r="AY300" s="407"/>
      <c r="AZ300" s="407"/>
      <c r="BA300" s="407"/>
      <c r="BB300" s="407"/>
      <c r="BC300" s="407"/>
      <c r="BD300" s="407"/>
      <c r="BE300" s="407"/>
      <c r="BF300" s="407"/>
      <c r="BG300" s="407"/>
      <c r="BH300" s="407"/>
      <c r="BI300" s="407"/>
      <c r="BJ300" s="407"/>
      <c r="BK300" s="407"/>
      <c r="BL300" s="407"/>
      <c r="BM300" s="407"/>
      <c r="BN300" s="407"/>
      <c r="BO300" s="407"/>
      <c r="BP300" s="407"/>
      <c r="BQ300" s="407"/>
      <c r="BR300" s="407"/>
      <c r="BS300" s="407"/>
      <c r="BT300" s="407"/>
      <c r="BU300" s="407"/>
      <c r="BV300" s="407"/>
      <c r="BW300" s="407"/>
      <c r="BX300" s="407"/>
      <c r="BY300" s="407"/>
      <c r="BZ300" s="407"/>
      <c r="CA300" s="407"/>
      <c r="CB300" s="407"/>
    </row>
    <row r="301" spans="1:80" ht="33" customHeight="1" x14ac:dyDescent="0.25">
      <c r="A301" s="420"/>
      <c r="B301" s="421"/>
      <c r="C301" s="422"/>
      <c r="E301" s="413"/>
      <c r="F301" s="413"/>
      <c r="G301" s="413"/>
      <c r="H301" s="413"/>
      <c r="I301" s="413"/>
      <c r="J301" s="413"/>
      <c r="K301" s="413"/>
      <c r="L301" s="413"/>
      <c r="M301" s="413"/>
      <c r="N301" s="413"/>
      <c r="O301" s="413"/>
      <c r="P301" s="413"/>
      <c r="Q301" s="413"/>
      <c r="R301" s="413"/>
      <c r="S301" s="413"/>
      <c r="T301" s="413"/>
      <c r="U301" s="413"/>
      <c r="V301" s="413"/>
      <c r="W301" s="413"/>
      <c r="X301" s="413"/>
      <c r="Y301" s="413"/>
      <c r="Z301" s="413"/>
      <c r="AA301" s="413"/>
      <c r="AB301" s="413"/>
      <c r="AC301" s="413"/>
      <c r="AD301" s="413"/>
      <c r="AE301" s="413"/>
      <c r="AF301" s="413"/>
      <c r="AG301" s="413"/>
      <c r="AH301" s="413"/>
      <c r="AI301" s="413"/>
      <c r="AJ301" s="413"/>
      <c r="AK301" s="413"/>
      <c r="AL301" s="413"/>
      <c r="AM301" s="413"/>
      <c r="AN301" s="413"/>
      <c r="AO301" s="413"/>
      <c r="AP301" s="413"/>
      <c r="AQ301" s="413"/>
      <c r="AR301" s="413"/>
      <c r="AS301" s="413"/>
      <c r="AT301" s="413"/>
      <c r="AU301" s="413"/>
      <c r="AV301" s="413"/>
      <c r="AW301" s="413"/>
      <c r="AX301" s="413"/>
      <c r="AY301" s="413"/>
      <c r="AZ301" s="413"/>
      <c r="BA301" s="413"/>
      <c r="BB301" s="413"/>
      <c r="BC301" s="413"/>
      <c r="BD301" s="413"/>
      <c r="BE301" s="413"/>
      <c r="BF301" s="413"/>
      <c r="BG301" s="413"/>
      <c r="BH301" s="413"/>
      <c r="BI301" s="413"/>
      <c r="BJ301" s="413"/>
      <c r="BK301" s="413"/>
      <c r="BL301" s="413"/>
      <c r="BM301" s="413"/>
      <c r="BN301" s="413"/>
      <c r="BO301" s="413"/>
      <c r="BP301" s="413"/>
      <c r="BQ301" s="413"/>
      <c r="BR301" s="413"/>
      <c r="BS301" s="413"/>
      <c r="BT301" s="413"/>
      <c r="BU301" s="413"/>
      <c r="BV301" s="413"/>
      <c r="BW301" s="413"/>
      <c r="BX301" s="413"/>
      <c r="BY301" s="413"/>
      <c r="BZ301" s="413"/>
      <c r="CA301" s="413"/>
      <c r="CB301" s="413"/>
    </row>
    <row r="302" spans="1:80" ht="39" customHeight="1" x14ac:dyDescent="0.25">
      <c r="A302" s="423"/>
      <c r="B302" s="421"/>
      <c r="C302" s="422"/>
      <c r="E302" s="424"/>
      <c r="F302" s="424"/>
      <c r="G302" s="424"/>
      <c r="H302" s="424"/>
      <c r="I302" s="424"/>
      <c r="J302" s="424"/>
      <c r="K302" s="424"/>
      <c r="L302" s="424"/>
      <c r="M302" s="424"/>
      <c r="N302" s="424"/>
      <c r="O302" s="424"/>
      <c r="P302" s="424"/>
      <c r="Q302" s="424"/>
      <c r="R302" s="424"/>
      <c r="S302" s="424"/>
      <c r="T302" s="424"/>
      <c r="U302" s="424"/>
      <c r="V302" s="424"/>
      <c r="W302" s="424"/>
      <c r="X302" s="424"/>
      <c r="Y302" s="424"/>
      <c r="Z302" s="424"/>
      <c r="AA302" s="424"/>
      <c r="AB302" s="424"/>
      <c r="AC302" s="424"/>
      <c r="AD302" s="424"/>
      <c r="AE302" s="424"/>
      <c r="AF302" s="424"/>
      <c r="AG302" s="424"/>
      <c r="AH302" s="424"/>
      <c r="AI302" s="424"/>
      <c r="AJ302" s="424"/>
      <c r="AK302" s="424"/>
      <c r="AL302" s="424"/>
      <c r="AM302" s="424"/>
      <c r="AN302" s="424"/>
      <c r="AO302" s="424"/>
      <c r="AP302" s="424"/>
      <c r="AQ302" s="424"/>
      <c r="AR302" s="424"/>
      <c r="AS302" s="424"/>
      <c r="AT302" s="424"/>
      <c r="AU302" s="424"/>
      <c r="AV302" s="424"/>
      <c r="AW302" s="424"/>
      <c r="AX302" s="424"/>
      <c r="AY302" s="424"/>
      <c r="AZ302" s="424"/>
      <c r="BA302" s="424"/>
      <c r="BB302" s="424"/>
      <c r="BC302" s="424"/>
      <c r="BD302" s="424"/>
      <c r="BE302" s="424"/>
      <c r="BF302" s="424"/>
      <c r="BG302" s="424"/>
      <c r="BH302" s="424"/>
      <c r="BI302" s="424"/>
      <c r="BJ302" s="424"/>
      <c r="BK302" s="424"/>
      <c r="BL302" s="424"/>
      <c r="BM302" s="424"/>
      <c r="BN302" s="424"/>
      <c r="BO302" s="424"/>
      <c r="BP302" s="424"/>
      <c r="BQ302" s="424"/>
      <c r="BR302" s="424"/>
      <c r="BS302" s="424"/>
      <c r="BT302" s="424"/>
      <c r="BU302" s="424"/>
      <c r="BV302" s="424"/>
      <c r="BW302" s="424"/>
      <c r="BX302" s="424"/>
      <c r="BY302" s="424"/>
      <c r="BZ302" s="424"/>
      <c r="CA302" s="424"/>
      <c r="CB302" s="424"/>
    </row>
    <row r="303" spans="1:80" x14ac:dyDescent="0.25">
      <c r="A303" s="425"/>
      <c r="C303" s="422"/>
    </row>
    <row r="304" spans="1:80" x14ac:dyDescent="0.25">
      <c r="A304" s="426"/>
      <c r="C304" s="422"/>
      <c r="E304" s="413"/>
      <c r="F304" s="413"/>
      <c r="G304" s="413"/>
      <c r="H304" s="413"/>
      <c r="I304" s="413"/>
      <c r="J304" s="413"/>
      <c r="K304" s="413"/>
      <c r="L304" s="413"/>
      <c r="M304" s="413"/>
      <c r="N304" s="413"/>
      <c r="O304" s="413"/>
      <c r="P304" s="413"/>
      <c r="Q304" s="413"/>
      <c r="R304" s="413"/>
      <c r="S304" s="413"/>
      <c r="T304" s="413"/>
      <c r="U304" s="413"/>
      <c r="V304" s="413"/>
      <c r="W304" s="413"/>
      <c r="X304" s="413"/>
      <c r="Y304" s="413"/>
      <c r="Z304" s="413"/>
      <c r="AA304" s="413"/>
      <c r="AB304" s="413"/>
      <c r="AC304" s="413"/>
      <c r="AD304" s="413"/>
      <c r="AE304" s="413"/>
      <c r="AF304" s="413"/>
      <c r="AG304" s="413"/>
      <c r="AH304" s="413"/>
      <c r="AI304" s="413"/>
      <c r="AJ304" s="413"/>
      <c r="AK304" s="413"/>
      <c r="AL304" s="413"/>
      <c r="AM304" s="413"/>
      <c r="AN304" s="413"/>
      <c r="AO304" s="413"/>
      <c r="AP304" s="413"/>
      <c r="AQ304" s="413"/>
      <c r="AR304" s="413"/>
      <c r="AS304" s="413"/>
      <c r="AT304" s="413"/>
      <c r="AU304" s="413"/>
      <c r="AV304" s="413"/>
      <c r="AW304" s="413"/>
      <c r="AX304" s="413"/>
      <c r="AY304" s="413"/>
      <c r="AZ304" s="413"/>
      <c r="BA304" s="413"/>
      <c r="BB304" s="413"/>
      <c r="BC304" s="413"/>
      <c r="BD304" s="413"/>
      <c r="BE304" s="413"/>
      <c r="BF304" s="413"/>
      <c r="BG304" s="413"/>
      <c r="BH304" s="413"/>
      <c r="BI304" s="413"/>
      <c r="BJ304" s="413"/>
      <c r="BK304" s="413"/>
      <c r="BL304" s="413"/>
      <c r="BM304" s="413"/>
      <c r="BN304" s="413"/>
      <c r="BO304" s="413"/>
      <c r="BP304" s="413"/>
      <c r="BQ304" s="413"/>
      <c r="BR304" s="413"/>
      <c r="BS304" s="413"/>
      <c r="BT304" s="413"/>
      <c r="BU304" s="413"/>
      <c r="BV304" s="413"/>
      <c r="BW304" s="413"/>
      <c r="BX304" s="413"/>
      <c r="BY304" s="413"/>
      <c r="BZ304" s="413"/>
      <c r="CA304" s="413"/>
      <c r="CB304" s="413"/>
    </row>
    <row r="305" spans="1:3" x14ac:dyDescent="0.25">
      <c r="A305" s="426"/>
      <c r="C305" s="422"/>
    </row>
  </sheetData>
  <sheetProtection algorithmName="SHA-512" hashValue="pV9FbzYRj+mdpDGl/nSYCqVV+HUnkYlC/yjJMI1U3r7lp4ZrxLdKR+Z5SDW64LCW7mJDdGpboRNrfKvTIIqYZg==" saltValue="etd+UtlODfhRyK96pNZd+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A2" sqref="A2:H2"/>
    </sheetView>
  </sheetViews>
  <sheetFormatPr defaultColWidth="9.140625" defaultRowHeight="15" x14ac:dyDescent="0.25"/>
  <cols>
    <col min="1" max="1" width="31.5703125" style="305" customWidth="1"/>
    <col min="2" max="2" width="8" style="305" customWidth="1"/>
    <col min="3" max="3" width="14.85546875" style="305" customWidth="1"/>
    <col min="4" max="4" width="16" style="305" customWidth="1"/>
    <col min="5" max="7" width="9.140625" style="305"/>
    <col min="8" max="8" width="21.28515625" style="305" customWidth="1"/>
    <col min="9" max="16384" width="9.140625" style="305"/>
  </cols>
  <sheetData>
    <row r="1" spans="1:11" ht="15.75" customHeight="1" x14ac:dyDescent="0.25">
      <c r="A1" s="1321" t="s">
        <v>772</v>
      </c>
      <c r="B1" s="1321"/>
      <c r="C1" s="1321"/>
      <c r="D1" s="1321"/>
    </row>
    <row r="2" spans="1:11" ht="15.75" customHeight="1" x14ac:dyDescent="0.25">
      <c r="A2" s="1323" t="s">
        <v>865</v>
      </c>
      <c r="B2" s="1323"/>
      <c r="C2" s="1323"/>
      <c r="D2" s="1323"/>
    </row>
    <row r="3" spans="1:11" ht="21.95" customHeight="1" x14ac:dyDescent="0.25">
      <c r="A3" s="1321" t="s">
        <v>866</v>
      </c>
      <c r="B3" s="1321"/>
      <c r="C3" s="1321"/>
      <c r="D3" s="1321"/>
    </row>
    <row r="4" spans="1:11" ht="21" customHeight="1" x14ac:dyDescent="0.25">
      <c r="A4" s="717"/>
      <c r="B4" s="717"/>
      <c r="C4" s="716" t="s">
        <v>867</v>
      </c>
      <c r="D4" s="716" t="s">
        <v>868</v>
      </c>
      <c r="I4" s="717"/>
      <c r="J4" s="716"/>
      <c r="K4" s="716"/>
    </row>
    <row r="5" spans="1:11" ht="15.75" customHeight="1" x14ac:dyDescent="0.25">
      <c r="A5" s="717"/>
      <c r="B5" s="712" t="s">
        <v>869</v>
      </c>
      <c r="C5" s="716" t="s">
        <v>870</v>
      </c>
      <c r="D5" s="716" t="s">
        <v>871</v>
      </c>
      <c r="I5" s="712"/>
      <c r="J5" s="716"/>
      <c r="K5" s="716"/>
    </row>
    <row r="6" spans="1:11" ht="21" customHeight="1" x14ac:dyDescent="0.25">
      <c r="A6" s="696" t="s">
        <v>872</v>
      </c>
      <c r="B6" s="712" t="s">
        <v>873</v>
      </c>
      <c r="C6" s="716" t="s">
        <v>874</v>
      </c>
      <c r="D6" s="716" t="s">
        <v>874</v>
      </c>
      <c r="I6" s="712"/>
      <c r="J6" s="716"/>
      <c r="K6" s="716"/>
    </row>
    <row r="7" spans="1:11" ht="21.95" customHeight="1" x14ac:dyDescent="0.25">
      <c r="A7" s="696" t="s">
        <v>875</v>
      </c>
      <c r="B7" s="701">
        <v>0.59699999999999998</v>
      </c>
      <c r="C7" s="697">
        <v>2015</v>
      </c>
      <c r="D7" s="697">
        <v>2021</v>
      </c>
      <c r="H7" s="703"/>
      <c r="I7" s="699"/>
      <c r="J7" s="710"/>
      <c r="K7" s="710"/>
    </row>
    <row r="8" spans="1:11" ht="15.75" customHeight="1" x14ac:dyDescent="0.25">
      <c r="A8" s="696" t="s">
        <v>876</v>
      </c>
      <c r="B8" s="701">
        <v>0.52900000000000003</v>
      </c>
      <c r="C8" s="697">
        <v>2017</v>
      </c>
      <c r="D8" s="697">
        <v>2021</v>
      </c>
      <c r="H8" s="703"/>
      <c r="I8" s="699"/>
      <c r="J8" s="710"/>
      <c r="K8" s="710"/>
    </row>
    <row r="9" spans="1:11" ht="15.75" customHeight="1" x14ac:dyDescent="0.25">
      <c r="A9" s="696" t="s">
        <v>877</v>
      </c>
      <c r="B9" s="701">
        <v>0.63</v>
      </c>
      <c r="C9" s="697">
        <v>2013</v>
      </c>
      <c r="D9" s="697">
        <v>2021</v>
      </c>
      <c r="H9" s="703"/>
      <c r="I9" s="699"/>
      <c r="J9" s="710"/>
      <c r="K9" s="710"/>
    </row>
    <row r="10" spans="1:11" ht="15.75" customHeight="1" x14ac:dyDescent="0.25">
      <c r="A10" s="696" t="s">
        <v>878</v>
      </c>
      <c r="B10" s="701">
        <v>0.73499999999999999</v>
      </c>
      <c r="C10" s="697">
        <v>2016</v>
      </c>
      <c r="D10" s="697">
        <v>2021</v>
      </c>
      <c r="H10" s="703"/>
      <c r="I10" s="699"/>
      <c r="J10" s="710"/>
      <c r="K10" s="710"/>
    </row>
    <row r="11" spans="1:11" ht="21.95" customHeight="1" x14ac:dyDescent="0.25">
      <c r="A11" s="696" t="s">
        <v>879</v>
      </c>
      <c r="B11" s="701">
        <v>0.67</v>
      </c>
      <c r="C11" s="697">
        <v>2017</v>
      </c>
      <c r="D11" s="697">
        <v>2021</v>
      </c>
      <c r="H11" s="703"/>
      <c r="I11" s="699"/>
      <c r="J11" s="710"/>
      <c r="K11" s="710"/>
    </row>
    <row r="12" spans="1:11" ht="21" customHeight="1" x14ac:dyDescent="0.25">
      <c r="A12" s="696" t="s">
        <v>880</v>
      </c>
      <c r="B12" s="701">
        <v>0.72</v>
      </c>
      <c r="C12" s="697">
        <v>2016</v>
      </c>
      <c r="D12" s="697">
        <v>2021</v>
      </c>
      <c r="H12" s="703"/>
      <c r="I12" s="699"/>
      <c r="J12" s="710"/>
      <c r="K12" s="710"/>
    </row>
    <row r="13" spans="1:11" ht="15.75" customHeight="1" x14ac:dyDescent="0.25">
      <c r="A13" s="696" t="s">
        <v>881</v>
      </c>
      <c r="B13" s="701">
        <v>0.80500000000000005</v>
      </c>
      <c r="C13" s="697">
        <v>2013</v>
      </c>
      <c r="D13" s="697">
        <v>2021</v>
      </c>
      <c r="H13" s="703"/>
      <c r="I13" s="699"/>
      <c r="J13" s="710"/>
      <c r="K13" s="710"/>
    </row>
    <row r="14" spans="1:11" ht="15.75" customHeight="1" x14ac:dyDescent="0.25">
      <c r="A14" s="696" t="s">
        <v>882</v>
      </c>
      <c r="B14" s="701">
        <v>0.48</v>
      </c>
      <c r="C14" s="697">
        <v>2013</v>
      </c>
      <c r="D14" s="697">
        <v>2021</v>
      </c>
      <c r="H14" s="703"/>
      <c r="I14" s="699"/>
      <c r="J14" s="710"/>
      <c r="K14" s="710"/>
    </row>
    <row r="15" spans="1:11" ht="15.75" customHeight="1" x14ac:dyDescent="0.25">
      <c r="A15" s="696" t="s">
        <v>883</v>
      </c>
      <c r="B15" s="701">
        <v>0.54</v>
      </c>
      <c r="C15" s="697">
        <v>2015</v>
      </c>
      <c r="D15" s="697">
        <v>2021</v>
      </c>
      <c r="H15" s="703"/>
      <c r="I15" s="699"/>
      <c r="J15" s="710"/>
      <c r="K15" s="702"/>
    </row>
    <row r="16" spans="1:11" ht="21" customHeight="1" x14ac:dyDescent="0.25">
      <c r="A16" s="696" t="s">
        <v>884</v>
      </c>
      <c r="B16" s="701">
        <v>0.73799999999999999</v>
      </c>
      <c r="C16" s="697">
        <v>2017</v>
      </c>
      <c r="D16" s="697">
        <v>2021</v>
      </c>
      <c r="H16" s="703"/>
      <c r="I16" s="699"/>
      <c r="J16" s="710"/>
      <c r="K16" s="702"/>
    </row>
    <row r="17" spans="1:11" ht="21.95" customHeight="1" x14ac:dyDescent="0.25">
      <c r="A17" s="696" t="s">
        <v>885</v>
      </c>
      <c r="B17" s="701">
        <v>0.74350000000000005</v>
      </c>
      <c r="C17" s="697">
        <v>2017</v>
      </c>
      <c r="D17" s="697">
        <v>2021</v>
      </c>
      <c r="H17" s="703"/>
      <c r="I17" s="699"/>
      <c r="J17" s="710"/>
      <c r="K17" s="702"/>
    </row>
    <row r="18" spans="1:11" ht="15.75" customHeight="1" x14ac:dyDescent="0.25">
      <c r="A18" s="696" t="s">
        <v>886</v>
      </c>
      <c r="B18" s="701">
        <v>0.78600000000000003</v>
      </c>
      <c r="C18" s="697">
        <v>2013</v>
      </c>
      <c r="D18" s="697">
        <v>2021</v>
      </c>
      <c r="H18" s="703"/>
      <c r="I18" s="699"/>
      <c r="J18" s="710"/>
      <c r="K18" s="702"/>
    </row>
    <row r="19" spans="1:11" ht="15.75" customHeight="1" x14ac:dyDescent="0.25">
      <c r="A19" s="696" t="s">
        <v>887</v>
      </c>
      <c r="B19" s="701">
        <v>0.58499999999999996</v>
      </c>
      <c r="C19" s="697">
        <v>2017</v>
      </c>
      <c r="D19" s="697">
        <v>2021</v>
      </c>
      <c r="H19" s="703"/>
      <c r="I19" s="699"/>
      <c r="J19" s="710"/>
      <c r="K19" s="702"/>
    </row>
    <row r="20" spans="1:11" ht="15.75" customHeight="1" x14ac:dyDescent="0.25">
      <c r="A20" s="696" t="s">
        <v>888</v>
      </c>
      <c r="B20" s="701">
        <v>0.38</v>
      </c>
      <c r="C20" s="697">
        <v>2016</v>
      </c>
      <c r="D20" s="697">
        <v>2021</v>
      </c>
    </row>
    <row r="21" spans="1:11" ht="21.95" customHeight="1" x14ac:dyDescent="0.25">
      <c r="A21" s="705" t="s">
        <v>889</v>
      </c>
      <c r="B21" s="701">
        <v>0.55500000000000005</v>
      </c>
      <c r="C21" s="697">
        <v>2017</v>
      </c>
      <c r="D21" s="715">
        <v>2021</v>
      </c>
    </row>
    <row r="22" spans="1:11" ht="21" customHeight="1" x14ac:dyDescent="0.25">
      <c r="A22" s="705" t="s">
        <v>890</v>
      </c>
      <c r="B22" s="701">
        <v>0.8679</v>
      </c>
      <c r="C22" s="697">
        <v>2017</v>
      </c>
      <c r="D22" s="715">
        <v>2021</v>
      </c>
    </row>
    <row r="23" spans="1:11" ht="15.75" customHeight="1" x14ac:dyDescent="0.25">
      <c r="A23" s="705" t="s">
        <v>891</v>
      </c>
      <c r="B23" s="701">
        <v>0.72</v>
      </c>
      <c r="C23" s="697">
        <v>2013</v>
      </c>
      <c r="D23" s="715">
        <v>2021</v>
      </c>
    </row>
    <row r="24" spans="1:11" ht="15.75" customHeight="1" x14ac:dyDescent="0.25">
      <c r="A24" s="705" t="s">
        <v>892</v>
      </c>
      <c r="B24" s="701">
        <v>0.5494</v>
      </c>
      <c r="C24" s="697">
        <v>2017</v>
      </c>
      <c r="D24" s="715">
        <v>2021</v>
      </c>
    </row>
    <row r="25" spans="1:11" ht="15.75" customHeight="1" x14ac:dyDescent="0.25">
      <c r="A25" s="705" t="s">
        <v>893</v>
      </c>
      <c r="B25" s="701">
        <v>0.67</v>
      </c>
      <c r="C25" s="697">
        <v>2017</v>
      </c>
      <c r="D25" s="715">
        <v>2021</v>
      </c>
    </row>
    <row r="26" spans="1:11" ht="21.95" customHeight="1" x14ac:dyDescent="0.25">
      <c r="A26" s="705" t="s">
        <v>894</v>
      </c>
      <c r="B26" s="701">
        <v>0.66</v>
      </c>
      <c r="C26" s="697">
        <v>2017</v>
      </c>
      <c r="D26" s="715">
        <v>2021</v>
      </c>
    </row>
    <row r="27" spans="1:11" ht="21.95" customHeight="1" x14ac:dyDescent="0.25">
      <c r="A27" s="705" t="s">
        <v>895</v>
      </c>
      <c r="B27" s="701">
        <v>0.58199999999999996</v>
      </c>
      <c r="C27" s="697">
        <v>2016</v>
      </c>
      <c r="D27" s="715">
        <v>2021</v>
      </c>
    </row>
    <row r="28" spans="1:11" ht="15.75" customHeight="1" x14ac:dyDescent="0.25">
      <c r="A28" s="705" t="s">
        <v>896</v>
      </c>
      <c r="B28" s="701">
        <v>0.36</v>
      </c>
      <c r="C28" s="697">
        <v>2013</v>
      </c>
      <c r="D28" s="715">
        <v>2021</v>
      </c>
    </row>
    <row r="29" spans="1:11" ht="15.75" customHeight="1" x14ac:dyDescent="0.25">
      <c r="A29" s="705" t="s">
        <v>897</v>
      </c>
      <c r="B29" s="701">
        <v>0.63600000000000001</v>
      </c>
      <c r="C29" s="697">
        <v>2016</v>
      </c>
      <c r="D29" s="715">
        <v>2021</v>
      </c>
    </row>
    <row r="30" spans="1:11" ht="15.75" customHeight="1" x14ac:dyDescent="0.25">
      <c r="A30" s="705" t="s">
        <v>898</v>
      </c>
      <c r="B30" s="701">
        <v>0.73089999999999999</v>
      </c>
      <c r="C30" s="697">
        <v>2015</v>
      </c>
      <c r="D30" s="715">
        <v>2021</v>
      </c>
    </row>
    <row r="31" spans="1:11" ht="21" customHeight="1" x14ac:dyDescent="0.25">
      <c r="A31" s="705" t="s">
        <v>899</v>
      </c>
      <c r="B31" s="701">
        <v>0.85499999999999998</v>
      </c>
      <c r="C31" s="697">
        <v>2013</v>
      </c>
      <c r="D31" s="715">
        <v>2021</v>
      </c>
    </row>
    <row r="32" spans="1:11" ht="21.95" customHeight="1" x14ac:dyDescent="0.25">
      <c r="A32" s="718" t="s">
        <v>900</v>
      </c>
      <c r="B32" s="695">
        <v>0.55000000000000004</v>
      </c>
      <c r="C32" s="714">
        <v>2018</v>
      </c>
      <c r="D32" s="714">
        <v>2022</v>
      </c>
    </row>
    <row r="33" spans="1:4" ht="15.75" customHeight="1" x14ac:dyDescent="0.25">
      <c r="A33" s="718" t="s">
        <v>901</v>
      </c>
      <c r="B33" s="695">
        <v>0.82</v>
      </c>
      <c r="C33" s="714">
        <v>2015</v>
      </c>
      <c r="D33" s="714">
        <v>2022</v>
      </c>
    </row>
    <row r="34" spans="1:4" ht="15.75" customHeight="1" x14ac:dyDescent="0.25">
      <c r="A34" s="718" t="s">
        <v>902</v>
      </c>
      <c r="B34" s="695">
        <v>0.755</v>
      </c>
      <c r="C34" s="714">
        <v>2014</v>
      </c>
      <c r="D34" s="714">
        <v>2022</v>
      </c>
    </row>
    <row r="35" spans="1:4" ht="15.75" customHeight="1" x14ac:dyDescent="0.25">
      <c r="A35" s="718" t="s">
        <v>903</v>
      </c>
      <c r="B35" s="695">
        <v>0.5494</v>
      </c>
      <c r="C35" s="714">
        <v>2016</v>
      </c>
      <c r="D35" s="714">
        <v>2022</v>
      </c>
    </row>
    <row r="36" spans="1:4" ht="21.95" customHeight="1" x14ac:dyDescent="0.25">
      <c r="A36" s="718" t="s">
        <v>904</v>
      </c>
      <c r="B36" s="695">
        <v>0.73499999999999999</v>
      </c>
      <c r="C36" s="714">
        <v>2017</v>
      </c>
      <c r="D36" s="714">
        <v>2022</v>
      </c>
    </row>
    <row r="37" spans="1:4" ht="21" customHeight="1" x14ac:dyDescent="0.25">
      <c r="A37" s="718" t="s">
        <v>905</v>
      </c>
      <c r="B37" s="695">
        <v>0.73050000000000004</v>
      </c>
      <c r="C37" s="714">
        <v>2017</v>
      </c>
      <c r="D37" s="714">
        <v>2022</v>
      </c>
    </row>
    <row r="38" spans="1:4" ht="15.75" customHeight="1" x14ac:dyDescent="0.25">
      <c r="A38" s="718" t="s">
        <v>906</v>
      </c>
      <c r="B38" s="695">
        <v>0.75</v>
      </c>
      <c r="C38" s="714">
        <v>2017</v>
      </c>
      <c r="D38" s="714">
        <v>2022</v>
      </c>
    </row>
    <row r="39" spans="1:4" ht="15.75" customHeight="1" x14ac:dyDescent="0.25">
      <c r="A39" s="718" t="s">
        <v>907</v>
      </c>
      <c r="B39" s="695">
        <v>0.75</v>
      </c>
      <c r="C39" s="714">
        <v>2014</v>
      </c>
      <c r="D39" s="714">
        <v>2022</v>
      </c>
    </row>
    <row r="40" spans="1:4" ht="15.75" customHeight="1" x14ac:dyDescent="0.25">
      <c r="A40" s="719" t="s">
        <v>908</v>
      </c>
      <c r="B40" s="695">
        <v>0.77</v>
      </c>
      <c r="C40" s="714">
        <v>2014</v>
      </c>
      <c r="D40" s="700">
        <v>2022</v>
      </c>
    </row>
    <row r="41" spans="1:4" ht="21" customHeight="1" x14ac:dyDescent="0.25">
      <c r="A41" s="719" t="s">
        <v>909</v>
      </c>
      <c r="B41" s="695">
        <v>0.57999999999999996</v>
      </c>
      <c r="C41" s="714">
        <v>2018</v>
      </c>
      <c r="D41" s="700">
        <v>2022</v>
      </c>
    </row>
    <row r="42" spans="1:4" ht="21.95" customHeight="1" x14ac:dyDescent="0.25">
      <c r="A42" s="719" t="s">
        <v>910</v>
      </c>
      <c r="B42" s="695">
        <v>0.70499999999999996</v>
      </c>
      <c r="C42" s="714">
        <v>2018</v>
      </c>
      <c r="D42" s="700">
        <v>2022</v>
      </c>
    </row>
    <row r="43" spans="1:4" ht="15.75" customHeight="1" x14ac:dyDescent="0.25">
      <c r="A43" s="719" t="s">
        <v>911</v>
      </c>
      <c r="B43" s="695">
        <v>0.77</v>
      </c>
      <c r="C43" s="714">
        <v>2014</v>
      </c>
      <c r="D43" s="700">
        <v>2022</v>
      </c>
    </row>
    <row r="44" spans="1:4" ht="15.75" customHeight="1" x14ac:dyDescent="0.25">
      <c r="A44" s="719" t="s">
        <v>912</v>
      </c>
      <c r="B44" s="695">
        <v>0.40300000000000002</v>
      </c>
      <c r="C44" s="714">
        <v>2014</v>
      </c>
      <c r="D44" s="700">
        <v>2022</v>
      </c>
    </row>
    <row r="45" spans="1:4" ht="15.75" customHeight="1" x14ac:dyDescent="0.25">
      <c r="A45" s="696" t="s">
        <v>913</v>
      </c>
      <c r="B45" s="701">
        <v>0.79</v>
      </c>
      <c r="C45" s="697">
        <v>2015</v>
      </c>
      <c r="D45" s="697">
        <v>2023</v>
      </c>
    </row>
    <row r="46" spans="1:4" ht="21.95" customHeight="1" x14ac:dyDescent="0.25">
      <c r="A46" s="696" t="s">
        <v>914</v>
      </c>
      <c r="B46" s="701">
        <v>0.443</v>
      </c>
      <c r="C46" s="697">
        <v>2019</v>
      </c>
      <c r="D46" s="697">
        <v>2023</v>
      </c>
    </row>
    <row r="47" spans="1:4" ht="21" customHeight="1" x14ac:dyDescent="0.25">
      <c r="A47" s="696" t="s">
        <v>915</v>
      </c>
      <c r="B47" s="701">
        <v>0.48499999999999999</v>
      </c>
      <c r="C47" s="697">
        <v>2019</v>
      </c>
      <c r="D47" s="697">
        <v>2023</v>
      </c>
    </row>
    <row r="48" spans="1:4" ht="15.75" customHeight="1" x14ac:dyDescent="0.25">
      <c r="A48" s="696" t="s">
        <v>916</v>
      </c>
      <c r="B48" s="701">
        <v>0.74</v>
      </c>
      <c r="C48" s="697">
        <v>2015</v>
      </c>
      <c r="D48" s="697">
        <v>2023</v>
      </c>
    </row>
    <row r="49" spans="1:4" ht="15.75" customHeight="1" x14ac:dyDescent="0.25">
      <c r="A49" s="696" t="s">
        <v>917</v>
      </c>
      <c r="B49" s="701">
        <v>0.57499999999999996</v>
      </c>
      <c r="C49" s="697">
        <v>2019</v>
      </c>
      <c r="D49" s="697">
        <v>2023</v>
      </c>
    </row>
    <row r="50" spans="1:4" ht="15.75" customHeight="1" x14ac:dyDescent="0.25">
      <c r="A50" s="696" t="s">
        <v>918</v>
      </c>
      <c r="B50" s="701">
        <v>0.71220000000000006</v>
      </c>
      <c r="C50" s="697">
        <v>2019</v>
      </c>
      <c r="D50" s="697">
        <v>2023</v>
      </c>
    </row>
    <row r="51" spans="1:4" ht="21.95" customHeight="1" x14ac:dyDescent="0.25">
      <c r="A51" s="696" t="s">
        <v>919</v>
      </c>
      <c r="B51" s="701">
        <v>0.83</v>
      </c>
      <c r="C51" s="697">
        <v>2019</v>
      </c>
      <c r="D51" s="697">
        <v>2023</v>
      </c>
    </row>
    <row r="52" spans="1:4" ht="21.95" customHeight="1" x14ac:dyDescent="0.25">
      <c r="A52" s="696" t="s">
        <v>920</v>
      </c>
      <c r="B52" s="701">
        <v>0.65</v>
      </c>
      <c r="C52" s="697">
        <v>2019</v>
      </c>
      <c r="D52" s="697">
        <v>2023</v>
      </c>
    </row>
    <row r="53" spans="1:4" ht="15.75" customHeight="1" x14ac:dyDescent="0.25">
      <c r="A53" s="696" t="s">
        <v>921</v>
      </c>
      <c r="B53" s="701">
        <v>0.56100000000000005</v>
      </c>
      <c r="C53" s="697">
        <v>2019</v>
      </c>
      <c r="D53" s="697">
        <v>2023</v>
      </c>
    </row>
    <row r="54" spans="1:4" ht="15.75" customHeight="1" x14ac:dyDescent="0.25">
      <c r="A54" s="696" t="s">
        <v>922</v>
      </c>
      <c r="B54" s="701">
        <v>0.77</v>
      </c>
      <c r="C54" s="697">
        <v>2017</v>
      </c>
      <c r="D54" s="697">
        <v>2023</v>
      </c>
    </row>
    <row r="55" spans="1:4" ht="15.75" customHeight="1" x14ac:dyDescent="0.25">
      <c r="A55" s="696" t="s">
        <v>923</v>
      </c>
      <c r="B55" s="701">
        <v>0.53749999999999998</v>
      </c>
      <c r="C55" s="697">
        <v>2019</v>
      </c>
      <c r="D55" s="697">
        <v>2023</v>
      </c>
    </row>
    <row r="56" spans="1:4" ht="36" customHeight="1" x14ac:dyDescent="0.25">
      <c r="A56" s="705" t="s">
        <v>924</v>
      </c>
      <c r="B56" s="701">
        <v>0.77500000000000002</v>
      </c>
      <c r="C56" s="697">
        <v>2019</v>
      </c>
      <c r="D56" s="715">
        <v>2023</v>
      </c>
    </row>
    <row r="57" spans="1:4" ht="36" customHeight="1" x14ac:dyDescent="0.25">
      <c r="A57" s="705" t="s">
        <v>925</v>
      </c>
      <c r="B57" s="701">
        <v>0.59899999999999998</v>
      </c>
      <c r="C57" s="697">
        <v>2019</v>
      </c>
      <c r="D57" s="715">
        <v>2023</v>
      </c>
    </row>
    <row r="58" spans="1:4" ht="36" customHeight="1" x14ac:dyDescent="0.25">
      <c r="A58" s="705" t="s">
        <v>926</v>
      </c>
      <c r="B58" s="701">
        <v>0.37469999999999998</v>
      </c>
      <c r="C58" s="697">
        <v>2019</v>
      </c>
      <c r="D58" s="715">
        <v>2023</v>
      </c>
    </row>
    <row r="59" spans="1:4" ht="36" customHeight="1" x14ac:dyDescent="0.25">
      <c r="A59" s="705" t="s">
        <v>927</v>
      </c>
      <c r="B59" s="701">
        <v>0.58750000000000002</v>
      </c>
      <c r="C59" s="697">
        <v>2019</v>
      </c>
      <c r="D59" s="715">
        <v>2023</v>
      </c>
    </row>
    <row r="60" spans="1:4" ht="36" customHeight="1" x14ac:dyDescent="0.25">
      <c r="A60" s="705" t="s">
        <v>928</v>
      </c>
      <c r="B60" s="701">
        <v>0.6169</v>
      </c>
      <c r="C60" s="697">
        <v>2019</v>
      </c>
      <c r="D60" s="715">
        <v>2023</v>
      </c>
    </row>
    <row r="61" spans="1:4" ht="36" customHeight="1" x14ac:dyDescent="0.25">
      <c r="A61" s="705" t="s">
        <v>929</v>
      </c>
      <c r="B61" s="701">
        <v>0.51</v>
      </c>
      <c r="C61" s="697">
        <v>2019</v>
      </c>
      <c r="D61" s="715">
        <v>2023</v>
      </c>
    </row>
    <row r="62" spans="1:4" ht="36" customHeight="1" x14ac:dyDescent="0.25">
      <c r="A62" s="705" t="s">
        <v>930</v>
      </c>
      <c r="B62" s="701">
        <v>0.91</v>
      </c>
      <c r="C62" s="697">
        <v>2015</v>
      </c>
      <c r="D62" s="715">
        <v>2023</v>
      </c>
    </row>
    <row r="63" spans="1:4" ht="36" customHeight="1" x14ac:dyDescent="0.25">
      <c r="A63" s="705" t="s">
        <v>931</v>
      </c>
      <c r="B63" s="701">
        <v>0.65749999999999997</v>
      </c>
      <c r="C63" s="697">
        <v>2019</v>
      </c>
      <c r="D63" s="715">
        <v>2023</v>
      </c>
    </row>
    <row r="64" spans="1:4" ht="36" customHeight="1" x14ac:dyDescent="0.25">
      <c r="A64" s="705" t="s">
        <v>932</v>
      </c>
      <c r="B64" s="701">
        <v>0.59699999999999998</v>
      </c>
      <c r="C64" s="697">
        <v>2019</v>
      </c>
      <c r="D64" s="715">
        <v>2023</v>
      </c>
    </row>
    <row r="65" spans="1:4" ht="36" customHeight="1" x14ac:dyDescent="0.25">
      <c r="A65" s="705" t="s">
        <v>933</v>
      </c>
      <c r="B65" s="701">
        <v>0.66</v>
      </c>
      <c r="C65" s="697">
        <v>2019</v>
      </c>
      <c r="D65" s="715">
        <v>2023</v>
      </c>
    </row>
    <row r="66" spans="1:4" ht="36" customHeight="1" x14ac:dyDescent="0.25">
      <c r="A66" s="705" t="s">
        <v>934</v>
      </c>
      <c r="B66" s="701">
        <v>0.66</v>
      </c>
      <c r="C66" s="697">
        <v>2017</v>
      </c>
      <c r="D66" s="715">
        <v>2023</v>
      </c>
    </row>
    <row r="67" spans="1:4" ht="36" customHeight="1" x14ac:dyDescent="0.25">
      <c r="A67" s="696" t="s">
        <v>935</v>
      </c>
      <c r="B67" s="701">
        <v>0.74</v>
      </c>
      <c r="C67" s="697">
        <v>2020</v>
      </c>
      <c r="D67" s="697">
        <v>2024</v>
      </c>
    </row>
    <row r="68" spans="1:4" ht="36" customHeight="1" x14ac:dyDescent="0.25">
      <c r="A68" s="696" t="s">
        <v>936</v>
      </c>
      <c r="B68" s="701">
        <v>0.33</v>
      </c>
      <c r="C68" s="697">
        <v>2020</v>
      </c>
      <c r="D68" s="697">
        <v>2024</v>
      </c>
    </row>
    <row r="69" spans="1:4" ht="36" customHeight="1" x14ac:dyDescent="0.25">
      <c r="A69" s="696" t="s">
        <v>937</v>
      </c>
      <c r="B69" s="701">
        <v>0.80500000000000005</v>
      </c>
      <c r="C69" s="697">
        <v>2018</v>
      </c>
      <c r="D69" s="697">
        <v>2024</v>
      </c>
    </row>
    <row r="70" spans="1:4" ht="36" customHeight="1" x14ac:dyDescent="0.25">
      <c r="A70" s="696" t="s">
        <v>938</v>
      </c>
      <c r="B70" s="701">
        <v>0.76</v>
      </c>
      <c r="C70" s="697">
        <v>2020</v>
      </c>
      <c r="D70" s="697">
        <v>2024</v>
      </c>
    </row>
    <row r="71" spans="1:4" ht="36" customHeight="1" x14ac:dyDescent="0.25">
      <c r="A71" s="705" t="s">
        <v>939</v>
      </c>
      <c r="B71" s="701">
        <v>0.59</v>
      </c>
      <c r="C71" s="697">
        <v>2016</v>
      </c>
      <c r="D71" s="715">
        <v>2024</v>
      </c>
    </row>
    <row r="72" spans="1:4" ht="36" customHeight="1" x14ac:dyDescent="0.25">
      <c r="A72" s="705" t="s">
        <v>940</v>
      </c>
      <c r="B72" s="701">
        <v>0.67969999999999997</v>
      </c>
      <c r="C72" s="697">
        <v>2020</v>
      </c>
      <c r="D72" s="715">
        <v>2024</v>
      </c>
    </row>
    <row r="73" spans="1:4" ht="36" customHeight="1" x14ac:dyDescent="0.25">
      <c r="A73" s="705" t="s">
        <v>941</v>
      </c>
      <c r="B73" s="701">
        <v>0.83</v>
      </c>
      <c r="C73" s="697">
        <v>2016</v>
      </c>
      <c r="D73" s="715">
        <v>2024</v>
      </c>
    </row>
    <row r="74" spans="1:4" ht="36" customHeight="1" x14ac:dyDescent="0.25">
      <c r="A74" s="705" t="s">
        <v>942</v>
      </c>
      <c r="B74" s="701">
        <v>0.77</v>
      </c>
      <c r="C74" s="697">
        <v>2018</v>
      </c>
      <c r="D74" s="715">
        <v>2024</v>
      </c>
    </row>
    <row r="75" spans="1:4" ht="36" customHeight="1" x14ac:dyDescent="0.25">
      <c r="A75" s="705" t="s">
        <v>943</v>
      </c>
      <c r="B75" s="701">
        <v>0.89</v>
      </c>
      <c r="C75" s="697">
        <v>2016</v>
      </c>
      <c r="D75" s="715">
        <v>2024</v>
      </c>
    </row>
    <row r="76" spans="1:4" ht="36" customHeight="1" x14ac:dyDescent="0.25">
      <c r="A76" s="705" t="s">
        <v>944</v>
      </c>
      <c r="B76" s="701">
        <v>0.6</v>
      </c>
      <c r="C76" s="697">
        <v>2020</v>
      </c>
      <c r="D76" s="715">
        <v>2024</v>
      </c>
    </row>
    <row r="77" spans="1:4" ht="36" customHeight="1" x14ac:dyDescent="0.25">
      <c r="A77" s="705" t="s">
        <v>945</v>
      </c>
      <c r="B77" s="701">
        <v>0.73</v>
      </c>
      <c r="C77" s="697">
        <v>2016</v>
      </c>
      <c r="D77" s="715">
        <v>2024</v>
      </c>
    </row>
    <row r="78" spans="1:4" ht="36" customHeight="1" x14ac:dyDescent="0.25">
      <c r="A78" s="705" t="s">
        <v>946</v>
      </c>
      <c r="B78" s="701">
        <v>0.6</v>
      </c>
      <c r="C78" s="697">
        <v>2016</v>
      </c>
      <c r="D78" s="715">
        <v>2024</v>
      </c>
    </row>
    <row r="79" spans="1:4" ht="36" customHeight="1" x14ac:dyDescent="0.25">
      <c r="A79" s="696" t="s">
        <v>947</v>
      </c>
      <c r="B79" s="701">
        <v>0.67</v>
      </c>
      <c r="C79" s="697">
        <v>2017</v>
      </c>
      <c r="D79" s="697">
        <v>2025</v>
      </c>
    </row>
    <row r="80" spans="1:4" ht="36" customHeight="1" x14ac:dyDescent="0.25">
      <c r="A80" s="696" t="s">
        <v>948</v>
      </c>
      <c r="B80" s="701">
        <v>0.69499999999999995</v>
      </c>
      <c r="C80" s="697">
        <v>2019</v>
      </c>
      <c r="D80" s="697">
        <v>2025</v>
      </c>
    </row>
    <row r="81" spans="1:4" ht="36" customHeight="1" x14ac:dyDescent="0.25">
      <c r="A81" s="696" t="s">
        <v>949</v>
      </c>
      <c r="B81" s="701">
        <v>0.79900000000000004</v>
      </c>
      <c r="C81" s="697">
        <v>2017</v>
      </c>
      <c r="D81" s="697">
        <v>2025</v>
      </c>
    </row>
    <row r="82" spans="1:4" ht="36" customHeight="1" x14ac:dyDescent="0.25">
      <c r="A82" s="696" t="s">
        <v>950</v>
      </c>
      <c r="B82" s="701">
        <v>0.40050000000000002</v>
      </c>
      <c r="C82" s="697">
        <v>2020</v>
      </c>
      <c r="D82" s="697">
        <v>2025</v>
      </c>
    </row>
    <row r="83" spans="1:4" ht="36" customHeight="1" x14ac:dyDescent="0.25">
      <c r="A83" s="696" t="s">
        <v>951</v>
      </c>
      <c r="B83" s="701">
        <v>0.95</v>
      </c>
      <c r="C83" s="697">
        <v>2017</v>
      </c>
      <c r="D83" s="697">
        <v>2025</v>
      </c>
    </row>
    <row r="84" spans="1:4" ht="36" customHeight="1" x14ac:dyDescent="0.25">
      <c r="A84" s="696" t="s">
        <v>952</v>
      </c>
      <c r="B84" s="701">
        <v>0.79</v>
      </c>
      <c r="C84" s="697">
        <v>2017</v>
      </c>
      <c r="D84" s="697">
        <v>2025</v>
      </c>
    </row>
    <row r="85" spans="1:4" ht="36" customHeight="1" x14ac:dyDescent="0.25">
      <c r="A85" s="705" t="s">
        <v>953</v>
      </c>
      <c r="B85" s="701">
        <v>0.76</v>
      </c>
      <c r="C85" s="697">
        <v>2019</v>
      </c>
      <c r="D85" s="715">
        <v>2025</v>
      </c>
    </row>
    <row r="86" spans="1:4" ht="36" customHeight="1" x14ac:dyDescent="0.25">
      <c r="A86" s="705" t="s">
        <v>954</v>
      </c>
      <c r="B86" s="701">
        <v>0.84499999999999997</v>
      </c>
      <c r="C86" s="697">
        <v>2017</v>
      </c>
      <c r="D86" s="715">
        <v>2025</v>
      </c>
    </row>
    <row r="87" spans="1:4" ht="36" customHeight="1" x14ac:dyDescent="0.25">
      <c r="A87" s="705" t="s">
        <v>955</v>
      </c>
      <c r="B87" s="701">
        <v>0.81</v>
      </c>
      <c r="C87" s="697">
        <v>2017</v>
      </c>
      <c r="D87" s="715">
        <v>2025</v>
      </c>
    </row>
    <row r="88" spans="1:4" ht="36" customHeight="1" x14ac:dyDescent="0.25">
      <c r="A88" s="705" t="s">
        <v>956</v>
      </c>
      <c r="B88" s="701">
        <v>0.67</v>
      </c>
      <c r="C88" s="697">
        <v>2017</v>
      </c>
      <c r="D88" s="715">
        <v>2025</v>
      </c>
    </row>
    <row r="89" spans="1:4" ht="36" customHeight="1" x14ac:dyDescent="0.25">
      <c r="A89" s="705" t="s">
        <v>957</v>
      </c>
      <c r="B89" s="701">
        <v>0.63270000000000004</v>
      </c>
      <c r="C89" s="697">
        <v>2019</v>
      </c>
      <c r="D89" s="715">
        <v>2025</v>
      </c>
    </row>
    <row r="90" spans="1:4" ht="36" customHeight="1" x14ac:dyDescent="0.25">
      <c r="A90" s="705" t="s">
        <v>958</v>
      </c>
      <c r="B90" s="701">
        <v>0.94</v>
      </c>
      <c r="C90" s="697">
        <v>2017</v>
      </c>
      <c r="D90" s="715">
        <v>2025</v>
      </c>
    </row>
    <row r="91" spans="1:4" ht="36" customHeight="1" x14ac:dyDescent="0.25">
      <c r="A91" s="705" t="s">
        <v>959</v>
      </c>
      <c r="B91" s="701">
        <v>0.81</v>
      </c>
      <c r="C91" s="697">
        <v>2017</v>
      </c>
      <c r="D91" s="715">
        <v>2025</v>
      </c>
    </row>
    <row r="92" spans="1:4" ht="36" customHeight="1" x14ac:dyDescent="0.25">
      <c r="A92" s="696" t="s">
        <v>960</v>
      </c>
      <c r="B92" s="701">
        <v>0.77700000000000002</v>
      </c>
      <c r="C92" s="697">
        <v>2018</v>
      </c>
      <c r="D92" s="697">
        <v>2026</v>
      </c>
    </row>
    <row r="93" spans="1:4" ht="36" customHeight="1" x14ac:dyDescent="0.25">
      <c r="A93" s="696" t="s">
        <v>961</v>
      </c>
      <c r="B93" s="701">
        <v>0.63500000000000001</v>
      </c>
      <c r="C93" s="697">
        <v>2018</v>
      </c>
      <c r="D93" s="697">
        <v>2026</v>
      </c>
    </row>
    <row r="94" spans="1:4" ht="36" customHeight="1" x14ac:dyDescent="0.25">
      <c r="A94" s="696" t="s">
        <v>962</v>
      </c>
      <c r="B94" s="701">
        <v>0.43</v>
      </c>
      <c r="C94" s="697">
        <v>2018</v>
      </c>
      <c r="D94" s="697">
        <v>2026</v>
      </c>
    </row>
    <row r="95" spans="1:4" ht="36" customHeight="1" x14ac:dyDescent="0.25">
      <c r="A95" s="696" t="s">
        <v>963</v>
      </c>
      <c r="B95" s="701">
        <v>0.84</v>
      </c>
      <c r="C95" s="697">
        <v>2018</v>
      </c>
      <c r="D95" s="697">
        <v>2026</v>
      </c>
    </row>
    <row r="96" spans="1:4" ht="36" customHeight="1" x14ac:dyDescent="0.25">
      <c r="A96" s="696" t="s">
        <v>964</v>
      </c>
      <c r="B96" s="701">
        <v>0.84</v>
      </c>
      <c r="C96" s="697">
        <v>2019</v>
      </c>
      <c r="D96" s="697">
        <v>2027</v>
      </c>
    </row>
    <row r="97" spans="1:4" ht="36" customHeight="1" x14ac:dyDescent="0.25">
      <c r="A97" s="705" t="s">
        <v>965</v>
      </c>
      <c r="B97" s="701">
        <v>0.64500000000000002</v>
      </c>
      <c r="C97" s="697">
        <v>2019</v>
      </c>
      <c r="D97" s="715">
        <v>2027</v>
      </c>
    </row>
    <row r="98" spans="1:4" ht="36" customHeight="1" x14ac:dyDescent="0.25">
      <c r="A98" s="705" t="s">
        <v>966</v>
      </c>
      <c r="B98" s="701">
        <v>0.69499999999999995</v>
      </c>
      <c r="C98" s="697">
        <v>2019</v>
      </c>
      <c r="D98" s="715">
        <v>2027</v>
      </c>
    </row>
    <row r="99" spans="1:4" ht="36" customHeight="1" x14ac:dyDescent="0.25">
      <c r="A99" s="705" t="s">
        <v>967</v>
      </c>
      <c r="B99" s="701">
        <v>0.82499999999999996</v>
      </c>
      <c r="C99" s="697">
        <v>2019</v>
      </c>
      <c r="D99" s="715">
        <v>2027</v>
      </c>
    </row>
    <row r="100" spans="1:4" ht="36" customHeight="1" x14ac:dyDescent="0.25">
      <c r="A100" s="705" t="s">
        <v>968</v>
      </c>
      <c r="B100" s="701">
        <v>1</v>
      </c>
      <c r="C100" s="697">
        <v>2019</v>
      </c>
      <c r="D100" s="715">
        <v>2027</v>
      </c>
    </row>
    <row r="101" spans="1:4" ht="36" customHeight="1" x14ac:dyDescent="0.25">
      <c r="A101" s="705" t="s">
        <v>969</v>
      </c>
      <c r="B101" s="701">
        <v>0.66349999999999998</v>
      </c>
      <c r="C101" s="697">
        <v>2019</v>
      </c>
      <c r="D101" s="715">
        <v>2027</v>
      </c>
    </row>
    <row r="102" spans="1:4" ht="36" customHeight="1" x14ac:dyDescent="0.25">
      <c r="A102" s="696" t="s">
        <v>970</v>
      </c>
      <c r="B102" s="701">
        <v>0.86499999999999999</v>
      </c>
      <c r="C102" s="697">
        <v>2020</v>
      </c>
      <c r="D102" s="697">
        <v>2028</v>
      </c>
    </row>
    <row r="103" spans="1:4" ht="36" customHeight="1" x14ac:dyDescent="0.25">
      <c r="A103" s="696" t="s">
        <v>971</v>
      </c>
      <c r="B103" s="701">
        <v>0.46</v>
      </c>
      <c r="C103" s="697">
        <v>2020</v>
      </c>
      <c r="D103" s="697">
        <v>2028</v>
      </c>
    </row>
    <row r="104" spans="1:4" ht="36" customHeight="1" x14ac:dyDescent="0.25">
      <c r="A104" s="705" t="s">
        <v>972</v>
      </c>
      <c r="B104" s="701">
        <v>0.5</v>
      </c>
      <c r="C104" s="697">
        <v>2020</v>
      </c>
      <c r="D104" s="715">
        <v>2028</v>
      </c>
    </row>
    <row r="105" spans="1:4" ht="36" customHeight="1" x14ac:dyDescent="0.25">
      <c r="A105" s="705" t="s">
        <v>973</v>
      </c>
      <c r="B105" s="701">
        <v>0.62</v>
      </c>
      <c r="C105" s="697">
        <v>2020</v>
      </c>
      <c r="D105" s="715">
        <v>2028</v>
      </c>
    </row>
    <row r="106" spans="1:4" ht="36" customHeight="1" x14ac:dyDescent="0.25">
      <c r="A106" s="705" t="s">
        <v>974</v>
      </c>
      <c r="B106" s="701">
        <v>0.625</v>
      </c>
      <c r="C106" s="697">
        <v>2020</v>
      </c>
      <c r="D106" s="715">
        <v>2028</v>
      </c>
    </row>
    <row r="107" spans="1:4" ht="36" customHeight="1" x14ac:dyDescent="0.25">
      <c r="A107" s="696"/>
      <c r="B107" s="701"/>
      <c r="C107" s="697"/>
      <c r="D107" s="697"/>
    </row>
    <row r="108" spans="1:4" ht="36" customHeight="1" x14ac:dyDescent="0.25">
      <c r="A108" s="696"/>
      <c r="B108" s="701"/>
      <c r="C108" s="697"/>
      <c r="D108" s="697"/>
    </row>
    <row r="109" spans="1:4" ht="36" customHeight="1" x14ac:dyDescent="0.25">
      <c r="A109" s="696"/>
      <c r="B109" s="701"/>
      <c r="C109" s="697"/>
      <c r="D109" s="697"/>
    </row>
    <row r="110" spans="1:4" ht="36" customHeight="1" x14ac:dyDescent="0.25">
      <c r="A110" s="696"/>
      <c r="B110" s="701"/>
      <c r="C110" s="697"/>
      <c r="D110" s="697"/>
    </row>
    <row r="111" spans="1:4" ht="36" customHeight="1" x14ac:dyDescent="0.25">
      <c r="A111" s="696"/>
      <c r="B111" s="701"/>
      <c r="C111" s="697"/>
      <c r="D111" s="697"/>
    </row>
    <row r="112" spans="1:4" ht="36" customHeight="1" x14ac:dyDescent="0.25">
      <c r="A112" s="1324" t="s">
        <v>975</v>
      </c>
      <c r="B112" s="1324"/>
      <c r="C112" s="1324"/>
      <c r="D112" s="1324"/>
    </row>
    <row r="113" spans="1:4" ht="15.75" customHeight="1" x14ac:dyDescent="0.25">
      <c r="A113" s="1319" t="s">
        <v>976</v>
      </c>
      <c r="B113" s="1319"/>
      <c r="C113" s="1319"/>
      <c r="D113" s="1319"/>
    </row>
    <row r="114" spans="1:4" ht="15.75" customHeight="1" x14ac:dyDescent="0.25">
      <c r="A114" s="1322" t="s">
        <v>977</v>
      </c>
      <c r="B114" s="1322"/>
      <c r="C114" s="1322"/>
      <c r="D114" s="1322"/>
    </row>
    <row r="115" spans="1:4" ht="15.75" customHeight="1" x14ac:dyDescent="0.25">
      <c r="A115" s="1319" t="s">
        <v>978</v>
      </c>
      <c r="B115" s="1319"/>
      <c r="C115" s="1319"/>
      <c r="D115" s="1319"/>
    </row>
    <row r="116" spans="1:4" ht="21.95" customHeight="1" x14ac:dyDescent="0.25">
      <c r="A116" s="1320" t="s">
        <v>979</v>
      </c>
      <c r="B116" s="1320"/>
      <c r="C116" s="1320"/>
      <c r="D116" s="1320"/>
    </row>
    <row r="117" spans="1:4" ht="21" customHeight="1" x14ac:dyDescent="0.25">
      <c r="A117" s="1321" t="s">
        <v>980</v>
      </c>
      <c r="B117" s="1321"/>
      <c r="C117" s="1321"/>
      <c r="D117" s="1321"/>
    </row>
    <row r="118" spans="1:4" ht="15.75" customHeight="1" x14ac:dyDescent="0.25">
      <c r="A118" s="1321" t="s">
        <v>981</v>
      </c>
      <c r="B118" s="1321"/>
      <c r="C118" s="1321"/>
      <c r="D118" s="1321"/>
    </row>
    <row r="119" spans="1:4" ht="15.75" customHeight="1" x14ac:dyDescent="0.25">
      <c r="A119" s="1321" t="s">
        <v>982</v>
      </c>
      <c r="B119" s="1321"/>
      <c r="C119" s="1321"/>
      <c r="D119" s="1321"/>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57"/>
  <sheetViews>
    <sheetView workbookViewId="0">
      <selection activeCell="A2" sqref="A2:H2"/>
    </sheetView>
  </sheetViews>
  <sheetFormatPr defaultColWidth="9.140625" defaultRowHeight="15" x14ac:dyDescent="0.25"/>
  <cols>
    <col min="1" max="1" width="37.85546875" style="723" customWidth="1"/>
    <col min="2" max="2" width="9.140625" style="723"/>
    <col min="3" max="3" width="12.7109375" style="723" customWidth="1"/>
    <col min="4" max="12" width="9.140625" style="723"/>
    <col min="13" max="13" width="39.7109375" style="723" customWidth="1"/>
    <col min="14" max="17" width="9.140625" style="723"/>
    <col min="18" max="18" width="32.28515625" style="723" customWidth="1"/>
    <col min="19" max="16384" width="9.140625" style="723"/>
  </cols>
  <sheetData>
    <row r="1" spans="1:21" x14ac:dyDescent="0.25">
      <c r="A1" s="723" t="s">
        <v>1311</v>
      </c>
    </row>
    <row r="2" spans="1:21" x14ac:dyDescent="0.25">
      <c r="A2" s="1057" t="s">
        <v>1402</v>
      </c>
      <c r="B2" s="1058">
        <v>602182</v>
      </c>
      <c r="C2" s="709"/>
      <c r="D2" s="56"/>
      <c r="E2" s="56"/>
      <c r="G2" s="723">
        <v>100</v>
      </c>
      <c r="I2" s="723" t="s">
        <v>379</v>
      </c>
      <c r="M2" s="1078" t="s">
        <v>1402</v>
      </c>
      <c r="N2" s="1080">
        <v>602182</v>
      </c>
      <c r="O2" s="268" t="b">
        <f>EXACT(A2,M2)</f>
        <v>1</v>
      </c>
      <c r="P2" s="268" t="b">
        <f>EXACT(B2,N2)</f>
        <v>1</v>
      </c>
      <c r="R2" s="302" t="s">
        <v>1402</v>
      </c>
      <c r="S2" s="412">
        <v>602182</v>
      </c>
      <c r="T2" s="268" t="b">
        <f>EXACT(M2,R2)</f>
        <v>1</v>
      </c>
      <c r="U2" s="268" t="b">
        <f>EXACT(N2,S2)</f>
        <v>1</v>
      </c>
    </row>
    <row r="3" spans="1:21" x14ac:dyDescent="0.25">
      <c r="A3" s="1057" t="s">
        <v>1403</v>
      </c>
      <c r="B3" s="1059">
        <v>601701</v>
      </c>
      <c r="C3" s="709"/>
      <c r="D3" s="55"/>
      <c r="E3" s="56"/>
      <c r="G3" s="723">
        <v>200</v>
      </c>
      <c r="I3" s="723" t="s">
        <v>380</v>
      </c>
      <c r="M3" s="1066" t="s">
        <v>1403</v>
      </c>
      <c r="N3" s="1081">
        <v>601701</v>
      </c>
      <c r="O3" s="268" t="b">
        <f t="shared" ref="O3:O18" si="0">EXACT(A3,M3)</f>
        <v>1</v>
      </c>
      <c r="P3" s="268" t="b">
        <f t="shared" ref="P3:P18" si="1">EXACT(B3,N3)</f>
        <v>1</v>
      </c>
      <c r="R3" s="412" t="s">
        <v>1403</v>
      </c>
      <c r="S3" s="412">
        <v>601701</v>
      </c>
      <c r="T3" s="268" t="b">
        <f t="shared" ref="T3:T8" si="2">EXACT(M3,R3)</f>
        <v>1</v>
      </c>
      <c r="U3" s="268" t="b">
        <f t="shared" ref="U3:U8" si="3">EXACT(N3,S3)</f>
        <v>1</v>
      </c>
    </row>
    <row r="4" spans="1:21" x14ac:dyDescent="0.25">
      <c r="A4" s="1057" t="s">
        <v>1404</v>
      </c>
      <c r="B4" s="1059">
        <v>601702</v>
      </c>
      <c r="C4" s="709"/>
      <c r="D4" s="55"/>
      <c r="E4" s="56"/>
      <c r="G4" s="723">
        <v>300</v>
      </c>
      <c r="I4" s="723" t="s">
        <v>381</v>
      </c>
      <c r="M4" s="1066" t="s">
        <v>1404</v>
      </c>
      <c r="N4" s="1081">
        <v>601702</v>
      </c>
      <c r="O4" s="268" t="b">
        <f t="shared" si="0"/>
        <v>1</v>
      </c>
      <c r="P4" s="268" t="b">
        <f t="shared" si="1"/>
        <v>1</v>
      </c>
      <c r="R4" s="412" t="s">
        <v>1404</v>
      </c>
      <c r="S4" s="412">
        <v>601702</v>
      </c>
      <c r="T4" s="268" t="b">
        <f t="shared" si="2"/>
        <v>1</v>
      </c>
      <c r="U4" s="268" t="b">
        <f t="shared" si="3"/>
        <v>1</v>
      </c>
    </row>
    <row r="5" spans="1:21" x14ac:dyDescent="0.25">
      <c r="A5" s="1057" t="s">
        <v>1405</v>
      </c>
      <c r="B5" s="1059">
        <v>601703</v>
      </c>
      <c r="C5" s="709"/>
      <c r="D5" s="55"/>
      <c r="E5" s="56"/>
      <c r="G5" s="723">
        <v>400</v>
      </c>
      <c r="M5" s="1066" t="s">
        <v>1405</v>
      </c>
      <c r="N5" s="1081">
        <v>601703</v>
      </c>
      <c r="O5" s="268" t="b">
        <f t="shared" si="0"/>
        <v>1</v>
      </c>
      <c r="P5" s="268" t="b">
        <f t="shared" si="1"/>
        <v>1</v>
      </c>
      <c r="R5" s="412" t="s">
        <v>1405</v>
      </c>
      <c r="S5" s="412">
        <v>601703</v>
      </c>
      <c r="T5" s="268" t="b">
        <f t="shared" si="2"/>
        <v>1</v>
      </c>
      <c r="U5" s="268" t="b">
        <f t="shared" si="3"/>
        <v>1</v>
      </c>
    </row>
    <row r="6" spans="1:21" x14ac:dyDescent="0.25">
      <c r="A6" s="1060" t="s">
        <v>1406</v>
      </c>
      <c r="B6" s="1059">
        <v>604187</v>
      </c>
      <c r="C6" s="709"/>
      <c r="D6" s="55"/>
      <c r="E6" s="56"/>
      <c r="G6" s="723">
        <v>500</v>
      </c>
      <c r="M6" s="1066" t="s">
        <v>1406</v>
      </c>
      <c r="N6" s="1081">
        <v>604187</v>
      </c>
      <c r="O6" s="268" t="b">
        <f t="shared" si="0"/>
        <v>1</v>
      </c>
      <c r="P6" s="268" t="b">
        <f t="shared" si="1"/>
        <v>1</v>
      </c>
      <c r="R6" s="412" t="s">
        <v>1406</v>
      </c>
      <c r="S6" s="412">
        <v>604187</v>
      </c>
      <c r="T6" s="268" t="b">
        <f t="shared" si="2"/>
        <v>1</v>
      </c>
      <c r="U6" s="268" t="b">
        <f t="shared" si="3"/>
        <v>1</v>
      </c>
    </row>
    <row r="7" spans="1:21" ht="30" x14ac:dyDescent="0.25">
      <c r="A7" s="1057" t="s">
        <v>1407</v>
      </c>
      <c r="B7" s="1058">
        <v>601707</v>
      </c>
      <c r="C7" s="709"/>
      <c r="D7" s="55"/>
      <c r="E7" s="56"/>
      <c r="M7" s="1066" t="s">
        <v>1407</v>
      </c>
      <c r="N7" s="1080">
        <v>601707</v>
      </c>
      <c r="O7" s="268" t="b">
        <f t="shared" si="0"/>
        <v>1</v>
      </c>
      <c r="P7" s="268" t="b">
        <f t="shared" si="1"/>
        <v>1</v>
      </c>
      <c r="R7" s="412" t="s">
        <v>1407</v>
      </c>
      <c r="S7" s="412">
        <v>601707</v>
      </c>
      <c r="T7" s="268" t="b">
        <f t="shared" si="2"/>
        <v>1</v>
      </c>
      <c r="U7" s="268" t="b">
        <f t="shared" si="3"/>
        <v>1</v>
      </c>
    </row>
    <row r="8" spans="1:21" x14ac:dyDescent="0.25">
      <c r="A8" s="1057" t="s">
        <v>1408</v>
      </c>
      <c r="B8" s="1061">
        <v>601708</v>
      </c>
      <c r="C8" s="709"/>
      <c r="D8" s="55"/>
      <c r="E8" s="56"/>
      <c r="M8" s="1078" t="s">
        <v>1408</v>
      </c>
      <c r="N8" s="1079">
        <v>601708</v>
      </c>
      <c r="O8" s="268" t="b">
        <f t="shared" si="0"/>
        <v>1</v>
      </c>
      <c r="P8" s="268" t="b">
        <f t="shared" si="1"/>
        <v>1</v>
      </c>
      <c r="R8" s="412" t="s">
        <v>1408</v>
      </c>
      <c r="S8" s="412">
        <v>601708</v>
      </c>
      <c r="T8" s="268" t="b">
        <f t="shared" si="2"/>
        <v>1</v>
      </c>
      <c r="U8" s="268" t="b">
        <f t="shared" si="3"/>
        <v>1</v>
      </c>
    </row>
    <row r="9" spans="1:21" ht="22.5" customHeight="1" x14ac:dyDescent="0.25">
      <c r="A9" s="1057" t="s">
        <v>1410</v>
      </c>
      <c r="B9" s="1061">
        <v>602352</v>
      </c>
      <c r="C9" s="709"/>
      <c r="D9" s="55"/>
      <c r="E9" s="56"/>
      <c r="M9" s="1066" t="s">
        <v>1410</v>
      </c>
      <c r="N9" s="1079">
        <v>602352</v>
      </c>
      <c r="O9" s="268" t="b">
        <f t="shared" si="0"/>
        <v>1</v>
      </c>
      <c r="P9" s="268" t="b">
        <f t="shared" si="1"/>
        <v>1</v>
      </c>
      <c r="R9" s="412" t="s">
        <v>1410</v>
      </c>
      <c r="S9" s="412">
        <v>602352</v>
      </c>
      <c r="T9" s="268" t="b">
        <f t="shared" ref="T9:T17" si="4">EXACT(M9,R9)</f>
        <v>1</v>
      </c>
      <c r="U9" s="268" t="b">
        <f t="shared" ref="U9:U17" si="5">EXACT(N9,S9)</f>
        <v>1</v>
      </c>
    </row>
    <row r="10" spans="1:21" x14ac:dyDescent="0.25">
      <c r="A10" s="1057" t="s">
        <v>1411</v>
      </c>
      <c r="B10" s="1061">
        <v>60952</v>
      </c>
      <c r="C10" s="709"/>
      <c r="D10" s="55"/>
      <c r="E10" s="56"/>
      <c r="M10" s="1066" t="s">
        <v>1411</v>
      </c>
      <c r="N10" s="1079">
        <v>60952</v>
      </c>
      <c r="O10" s="268" t="b">
        <f t="shared" si="0"/>
        <v>1</v>
      </c>
      <c r="P10" s="268" t="b">
        <f t="shared" si="1"/>
        <v>1</v>
      </c>
      <c r="R10" s="412" t="s">
        <v>1411</v>
      </c>
      <c r="S10" s="302">
        <v>60952</v>
      </c>
      <c r="T10" s="268" t="b">
        <f t="shared" si="4"/>
        <v>1</v>
      </c>
      <c r="U10" s="268" t="b">
        <f t="shared" si="5"/>
        <v>1</v>
      </c>
    </row>
    <row r="11" spans="1:21" x14ac:dyDescent="0.25">
      <c r="A11" s="1057" t="s">
        <v>1412</v>
      </c>
      <c r="B11" s="1061">
        <v>601717</v>
      </c>
      <c r="C11" s="709"/>
      <c r="D11" s="55"/>
      <c r="E11" s="56"/>
      <c r="M11" s="1066" t="s">
        <v>1412</v>
      </c>
      <c r="N11" s="1079">
        <v>601717</v>
      </c>
      <c r="O11" s="268" t="b">
        <f t="shared" si="0"/>
        <v>1</v>
      </c>
      <c r="P11" s="268" t="b">
        <f t="shared" si="1"/>
        <v>1</v>
      </c>
      <c r="R11" s="412" t="s">
        <v>1412</v>
      </c>
      <c r="S11" s="412">
        <v>601717</v>
      </c>
      <c r="T11" s="268" t="b">
        <f t="shared" si="4"/>
        <v>1</v>
      </c>
      <c r="U11" s="268" t="b">
        <f t="shared" si="5"/>
        <v>1</v>
      </c>
    </row>
    <row r="12" spans="1:21" x14ac:dyDescent="0.25">
      <c r="A12" s="1057" t="s">
        <v>1413</v>
      </c>
      <c r="B12" s="1061">
        <v>601719</v>
      </c>
      <c r="C12" s="709"/>
      <c r="D12" s="55"/>
      <c r="E12" s="56"/>
      <c r="M12" s="1066" t="s">
        <v>1413</v>
      </c>
      <c r="N12" s="1079">
        <v>601719</v>
      </c>
      <c r="O12" s="268" t="b">
        <f t="shared" si="0"/>
        <v>1</v>
      </c>
      <c r="P12" s="268" t="b">
        <f t="shared" si="1"/>
        <v>1</v>
      </c>
      <c r="R12" s="412" t="s">
        <v>1413</v>
      </c>
      <c r="S12" s="302">
        <v>601719</v>
      </c>
      <c r="T12" s="268" t="b">
        <f t="shared" si="4"/>
        <v>1</v>
      </c>
      <c r="U12" s="268" t="b">
        <f t="shared" si="5"/>
        <v>1</v>
      </c>
    </row>
    <row r="13" spans="1:21" ht="30" x14ac:dyDescent="0.25">
      <c r="A13" s="1057" t="s">
        <v>1414</v>
      </c>
      <c r="B13" s="1061">
        <v>601720</v>
      </c>
      <c r="C13" s="709"/>
      <c r="D13" s="55"/>
      <c r="E13" s="56"/>
      <c r="M13" s="1066" t="s">
        <v>1414</v>
      </c>
      <c r="N13" s="1079">
        <v>601720</v>
      </c>
      <c r="O13" s="268" t="b">
        <f t="shared" si="0"/>
        <v>1</v>
      </c>
      <c r="P13" s="268" t="b">
        <f t="shared" si="1"/>
        <v>1</v>
      </c>
      <c r="R13" s="412" t="s">
        <v>1414</v>
      </c>
      <c r="S13" s="302">
        <v>601720</v>
      </c>
      <c r="T13" s="268" t="b">
        <f t="shared" si="4"/>
        <v>1</v>
      </c>
      <c r="U13" s="268" t="b">
        <f t="shared" si="5"/>
        <v>1</v>
      </c>
    </row>
    <row r="14" spans="1:21" ht="30" x14ac:dyDescent="0.25">
      <c r="A14" s="1057" t="s">
        <v>1415</v>
      </c>
      <c r="B14" s="1061">
        <v>601504</v>
      </c>
      <c r="C14" s="709"/>
      <c r="D14" s="55"/>
      <c r="E14" s="56"/>
      <c r="M14" s="1066" t="s">
        <v>1415</v>
      </c>
      <c r="N14" s="1079">
        <v>601504</v>
      </c>
      <c r="O14" s="268" t="b">
        <f t="shared" si="0"/>
        <v>1</v>
      </c>
      <c r="P14" s="268" t="b">
        <f t="shared" si="1"/>
        <v>1</v>
      </c>
      <c r="R14" s="412" t="s">
        <v>1415</v>
      </c>
      <c r="S14" s="302">
        <v>601504</v>
      </c>
      <c r="T14" s="268" t="b">
        <f t="shared" si="4"/>
        <v>1</v>
      </c>
      <c r="U14" s="268" t="b">
        <f t="shared" si="5"/>
        <v>1</v>
      </c>
    </row>
    <row r="15" spans="1:21" ht="30" x14ac:dyDescent="0.25">
      <c r="A15" s="1057" t="s">
        <v>1416</v>
      </c>
      <c r="B15" s="1061">
        <v>601723</v>
      </c>
      <c r="C15" s="709"/>
      <c r="D15" s="55"/>
      <c r="E15" s="56"/>
      <c r="M15" s="1066" t="s">
        <v>1416</v>
      </c>
      <c r="N15" s="1079">
        <v>601723</v>
      </c>
      <c r="O15" s="268" t="b">
        <f t="shared" si="0"/>
        <v>1</v>
      </c>
      <c r="P15" s="268" t="b">
        <f t="shared" si="1"/>
        <v>1</v>
      </c>
      <c r="R15" s="412" t="s">
        <v>1416</v>
      </c>
      <c r="S15" s="302">
        <v>601723</v>
      </c>
      <c r="T15" s="268" t="b">
        <f t="shared" si="4"/>
        <v>1</v>
      </c>
      <c r="U15" s="268" t="b">
        <f t="shared" si="5"/>
        <v>1</v>
      </c>
    </row>
    <row r="16" spans="1:21" ht="30" x14ac:dyDescent="0.25">
      <c r="A16" s="1057" t="s">
        <v>1417</v>
      </c>
      <c r="B16" s="1061">
        <v>601781</v>
      </c>
      <c r="C16" s="709"/>
      <c r="D16" s="55"/>
      <c r="E16" s="56"/>
      <c r="M16" s="1066" t="s">
        <v>1417</v>
      </c>
      <c r="N16" s="1079">
        <v>601781</v>
      </c>
      <c r="O16" s="268" t="b">
        <f t="shared" si="0"/>
        <v>1</v>
      </c>
      <c r="P16" s="268" t="b">
        <f t="shared" si="1"/>
        <v>1</v>
      </c>
      <c r="R16" s="412" t="s">
        <v>1417</v>
      </c>
      <c r="S16" s="302">
        <v>601781</v>
      </c>
      <c r="T16" s="268" t="b">
        <f t="shared" si="4"/>
        <v>1</v>
      </c>
      <c r="U16" s="268" t="b">
        <f t="shared" si="5"/>
        <v>1</v>
      </c>
    </row>
    <row r="17" spans="1:21" ht="30" x14ac:dyDescent="0.25">
      <c r="A17" s="1057" t="s">
        <v>1418</v>
      </c>
      <c r="B17" s="1061">
        <v>601782</v>
      </c>
      <c r="C17" s="709"/>
      <c r="D17" s="55"/>
      <c r="E17" s="56"/>
      <c r="M17" s="1066" t="s">
        <v>1418</v>
      </c>
      <c r="N17" s="1079">
        <v>601782</v>
      </c>
      <c r="O17" s="268" t="b">
        <f t="shared" si="0"/>
        <v>1</v>
      </c>
      <c r="P17" s="268" t="b">
        <f t="shared" si="1"/>
        <v>1</v>
      </c>
      <c r="R17" s="412" t="s">
        <v>1418</v>
      </c>
      <c r="S17" s="302">
        <v>601782</v>
      </c>
      <c r="T17" s="268" t="b">
        <f t="shared" si="4"/>
        <v>1</v>
      </c>
      <c r="U17" s="268" t="b">
        <f t="shared" si="5"/>
        <v>1</v>
      </c>
    </row>
    <row r="18" spans="1:21" ht="30" x14ac:dyDescent="0.25">
      <c r="A18" s="1057" t="s">
        <v>1419</v>
      </c>
      <c r="B18" s="1061">
        <v>601724</v>
      </c>
      <c r="C18" s="709"/>
      <c r="D18" s="55"/>
      <c r="E18" s="56"/>
      <c r="M18" s="1066" t="s">
        <v>1419</v>
      </c>
      <c r="N18" s="1079">
        <v>601724</v>
      </c>
      <c r="O18" s="268" t="b">
        <f t="shared" si="0"/>
        <v>1</v>
      </c>
      <c r="P18" s="268" t="b">
        <f t="shared" si="1"/>
        <v>1</v>
      </c>
      <c r="R18" s="412" t="s">
        <v>1419</v>
      </c>
      <c r="S18" s="302">
        <v>601724</v>
      </c>
      <c r="T18" s="268" t="b">
        <f t="shared" ref="T18:T21" si="6">EXACT(M18,R18)</f>
        <v>1</v>
      </c>
      <c r="U18" s="268" t="b">
        <f t="shared" ref="U18:U21" si="7">EXACT(N18,S18)</f>
        <v>1</v>
      </c>
    </row>
    <row r="19" spans="1:21" ht="30" x14ac:dyDescent="0.25">
      <c r="A19" s="1057" t="s">
        <v>1421</v>
      </c>
      <c r="B19" s="1059">
        <v>601726</v>
      </c>
      <c r="C19" s="709"/>
      <c r="D19" s="55"/>
      <c r="E19" s="56"/>
      <c r="M19" s="1066" t="s">
        <v>1421</v>
      </c>
      <c r="N19" s="1079">
        <v>601726</v>
      </c>
      <c r="O19" s="268" t="b">
        <f t="shared" ref="O19:O21" si="8">EXACT(A19,M19)</f>
        <v>1</v>
      </c>
      <c r="P19" s="268" t="b">
        <f t="shared" ref="P19:P21" si="9">EXACT(B19,N19)</f>
        <v>1</v>
      </c>
      <c r="R19" s="412" t="s">
        <v>1421</v>
      </c>
      <c r="S19" s="302">
        <v>601726</v>
      </c>
      <c r="T19" s="268" t="b">
        <f t="shared" si="6"/>
        <v>1</v>
      </c>
      <c r="U19" s="268" t="b">
        <f t="shared" si="7"/>
        <v>1</v>
      </c>
    </row>
    <row r="20" spans="1:21" ht="30" x14ac:dyDescent="0.25">
      <c r="A20" s="1057" t="s">
        <v>1422</v>
      </c>
      <c r="B20" s="1061">
        <v>602154</v>
      </c>
      <c r="C20" s="709"/>
      <c r="D20" s="55"/>
      <c r="E20" s="56"/>
      <c r="M20" s="1066" t="s">
        <v>1422</v>
      </c>
      <c r="N20" s="1079">
        <v>602154</v>
      </c>
      <c r="O20" s="268" t="b">
        <f t="shared" si="8"/>
        <v>1</v>
      </c>
      <c r="P20" s="268" t="b">
        <f t="shared" si="9"/>
        <v>1</v>
      </c>
      <c r="R20" s="412" t="s">
        <v>1422</v>
      </c>
      <c r="S20" s="302">
        <v>602154</v>
      </c>
      <c r="T20" s="268" t="b">
        <f t="shared" si="6"/>
        <v>1</v>
      </c>
      <c r="U20" s="268" t="b">
        <f t="shared" si="7"/>
        <v>1</v>
      </c>
    </row>
    <row r="21" spans="1:21" ht="30" x14ac:dyDescent="0.25">
      <c r="A21" s="1063" t="s">
        <v>1423</v>
      </c>
      <c r="B21" s="1061">
        <v>604030</v>
      </c>
      <c r="C21" s="709"/>
      <c r="D21" s="55"/>
      <c r="E21" s="56"/>
      <c r="M21" s="1066" t="s">
        <v>1423</v>
      </c>
      <c r="N21" s="1079">
        <v>604030</v>
      </c>
      <c r="O21" s="268" t="b">
        <f t="shared" si="8"/>
        <v>1</v>
      </c>
      <c r="P21" s="268" t="b">
        <f t="shared" si="9"/>
        <v>1</v>
      </c>
      <c r="R21" s="412" t="s">
        <v>1423</v>
      </c>
      <c r="S21" s="302">
        <v>604030</v>
      </c>
      <c r="T21" s="268" t="b">
        <f t="shared" si="6"/>
        <v>1</v>
      </c>
      <c r="U21" s="268" t="b">
        <f t="shared" si="7"/>
        <v>1</v>
      </c>
    </row>
    <row r="22" spans="1:21" ht="30" x14ac:dyDescent="0.25">
      <c r="A22" s="1057" t="s">
        <v>1424</v>
      </c>
      <c r="B22" s="1062">
        <v>601738</v>
      </c>
      <c r="C22" s="709"/>
      <c r="D22" s="55"/>
      <c r="E22" s="56"/>
      <c r="M22" s="1066" t="s">
        <v>1424</v>
      </c>
      <c r="N22" s="1082">
        <v>601738</v>
      </c>
      <c r="O22" s="268" t="b">
        <f t="shared" ref="O22:O24" si="10">EXACT(A22,M22)</f>
        <v>1</v>
      </c>
      <c r="P22" s="268" t="b">
        <f t="shared" ref="P22:P24" si="11">EXACT(B22,N22)</f>
        <v>1</v>
      </c>
      <c r="R22" s="412" t="s">
        <v>1424</v>
      </c>
      <c r="S22" s="302">
        <v>601738</v>
      </c>
      <c r="T22" s="268" t="b">
        <f t="shared" ref="T22:T26" si="12">EXACT(M22,R22)</f>
        <v>1</v>
      </c>
      <c r="U22" s="268" t="b">
        <f t="shared" ref="U22:U26" si="13">EXACT(N22,S22)</f>
        <v>1</v>
      </c>
    </row>
    <row r="23" spans="1:21" x14ac:dyDescent="0.25">
      <c r="A23" s="1057" t="s">
        <v>1425</v>
      </c>
      <c r="B23" s="1062">
        <v>601744</v>
      </c>
      <c r="C23" s="709"/>
      <c r="D23" s="55"/>
      <c r="E23" s="56"/>
      <c r="M23" s="1066" t="s">
        <v>1425</v>
      </c>
      <c r="N23" s="1082">
        <v>601744</v>
      </c>
      <c r="O23" s="268" t="b">
        <f t="shared" si="10"/>
        <v>1</v>
      </c>
      <c r="P23" s="268" t="b">
        <f t="shared" si="11"/>
        <v>1</v>
      </c>
      <c r="R23" s="412" t="s">
        <v>1425</v>
      </c>
      <c r="S23" s="302">
        <v>601744</v>
      </c>
      <c r="T23" s="268" t="b">
        <f t="shared" si="12"/>
        <v>1</v>
      </c>
      <c r="U23" s="268" t="b">
        <f t="shared" si="13"/>
        <v>1</v>
      </c>
    </row>
    <row r="24" spans="1:21" x14ac:dyDescent="0.25">
      <c r="A24" s="1057" t="s">
        <v>1426</v>
      </c>
      <c r="B24" s="1062">
        <v>601745</v>
      </c>
      <c r="C24" s="709"/>
      <c r="D24" s="55"/>
      <c r="E24" s="56"/>
      <c r="M24" s="1066" t="s">
        <v>1426</v>
      </c>
      <c r="N24" s="1082">
        <v>601745</v>
      </c>
      <c r="O24" s="268" t="b">
        <f t="shared" si="10"/>
        <v>1</v>
      </c>
      <c r="P24" s="268" t="b">
        <f t="shared" si="11"/>
        <v>1</v>
      </c>
      <c r="R24" s="412" t="s">
        <v>1426</v>
      </c>
      <c r="S24" s="302">
        <v>601745</v>
      </c>
      <c r="T24" s="268" t="b">
        <f t="shared" si="12"/>
        <v>1</v>
      </c>
      <c r="U24" s="268" t="b">
        <f t="shared" si="13"/>
        <v>1</v>
      </c>
    </row>
    <row r="25" spans="1:21" x14ac:dyDescent="0.25">
      <c r="A25" s="1057" t="s">
        <v>1427</v>
      </c>
      <c r="B25" s="1062">
        <v>601746</v>
      </c>
      <c r="C25" s="709"/>
      <c r="D25" s="55"/>
      <c r="E25" s="56"/>
      <c r="M25" s="1066" t="s">
        <v>1427</v>
      </c>
      <c r="N25" s="1082">
        <v>601746</v>
      </c>
      <c r="O25" s="268" t="b">
        <f t="shared" ref="O25:O28" si="14">EXACT(A25,M25)</f>
        <v>1</v>
      </c>
      <c r="P25" s="268" t="b">
        <f t="shared" ref="P25:P28" si="15">EXACT(B25,N25)</f>
        <v>1</v>
      </c>
      <c r="R25" s="412" t="s">
        <v>1427</v>
      </c>
      <c r="S25" s="302">
        <v>601746</v>
      </c>
      <c r="T25" s="268" t="b">
        <f t="shared" si="12"/>
        <v>1</v>
      </c>
      <c r="U25" s="268" t="b">
        <f t="shared" si="13"/>
        <v>1</v>
      </c>
    </row>
    <row r="26" spans="1:21" x14ac:dyDescent="0.25">
      <c r="A26" s="1057" t="s">
        <v>1428</v>
      </c>
      <c r="B26" s="1062">
        <v>601748</v>
      </c>
      <c r="C26" s="709"/>
      <c r="D26" s="55"/>
      <c r="E26" s="56"/>
      <c r="M26" s="1066" t="s">
        <v>1428</v>
      </c>
      <c r="N26" s="1082">
        <v>601748</v>
      </c>
      <c r="O26" s="268" t="b">
        <f t="shared" si="14"/>
        <v>1</v>
      </c>
      <c r="P26" s="268" t="b">
        <f t="shared" si="15"/>
        <v>1</v>
      </c>
      <c r="R26" s="412" t="s">
        <v>1428</v>
      </c>
      <c r="S26" s="302">
        <v>601748</v>
      </c>
      <c r="T26" s="268" t="b">
        <f t="shared" si="12"/>
        <v>1</v>
      </c>
      <c r="U26" s="268" t="b">
        <f t="shared" si="13"/>
        <v>1</v>
      </c>
    </row>
    <row r="27" spans="1:21" x14ac:dyDescent="0.25">
      <c r="A27" s="1057" t="s">
        <v>1429</v>
      </c>
      <c r="B27" s="1062">
        <v>601790</v>
      </c>
      <c r="C27" s="709"/>
      <c r="D27" s="55"/>
      <c r="E27" s="56"/>
      <c r="M27" s="1066" t="s">
        <v>1429</v>
      </c>
      <c r="N27" s="1082">
        <v>601790</v>
      </c>
      <c r="O27" s="268" t="b">
        <f t="shared" si="14"/>
        <v>1</v>
      </c>
      <c r="P27" s="268" t="b">
        <f t="shared" si="15"/>
        <v>1</v>
      </c>
      <c r="R27" s="412" t="s">
        <v>1429</v>
      </c>
      <c r="S27" s="302">
        <v>601790</v>
      </c>
      <c r="T27" s="268" t="b">
        <f>EXACT(M27,R27)</f>
        <v>1</v>
      </c>
      <c r="U27" s="268" t="b">
        <f>EXACT(N27,S27)</f>
        <v>1</v>
      </c>
    </row>
    <row r="28" spans="1:21" x14ac:dyDescent="0.25">
      <c r="A28" s="1057" t="s">
        <v>1430</v>
      </c>
      <c r="B28" s="1062">
        <v>602369</v>
      </c>
      <c r="C28" s="709"/>
      <c r="D28" s="55"/>
      <c r="E28" s="56"/>
      <c r="M28" s="1066" t="s">
        <v>1430</v>
      </c>
      <c r="N28" s="1082">
        <v>602369</v>
      </c>
      <c r="O28" s="268" t="b">
        <f t="shared" si="14"/>
        <v>1</v>
      </c>
      <c r="P28" s="268" t="b">
        <f t="shared" si="15"/>
        <v>1</v>
      </c>
      <c r="R28" s="412" t="s">
        <v>1430</v>
      </c>
      <c r="S28" s="302">
        <v>602369</v>
      </c>
      <c r="T28" s="268" t="b">
        <f t="shared" ref="T28:T29" si="16">EXACT(M28,R28)</f>
        <v>1</v>
      </c>
      <c r="U28" s="268" t="b">
        <f t="shared" ref="U28:U29" si="17">EXACT(N28,S28)</f>
        <v>1</v>
      </c>
    </row>
    <row r="29" spans="1:21" x14ac:dyDescent="0.25">
      <c r="A29" s="1057" t="s">
        <v>1431</v>
      </c>
      <c r="B29" s="1062">
        <v>601760</v>
      </c>
      <c r="C29" s="709"/>
      <c r="D29" s="55"/>
      <c r="E29" s="56"/>
      <c r="M29" s="1066" t="s">
        <v>1431</v>
      </c>
      <c r="N29" s="1082">
        <v>601760</v>
      </c>
      <c r="O29" s="268" t="b">
        <f t="shared" ref="O29:O30" si="18">EXACT(A29,M29)</f>
        <v>1</v>
      </c>
      <c r="P29" s="268" t="b">
        <f t="shared" ref="P29:P30" si="19">EXACT(B29,N29)</f>
        <v>1</v>
      </c>
      <c r="R29" s="412" t="s">
        <v>1431</v>
      </c>
      <c r="S29" s="302">
        <v>601760</v>
      </c>
      <c r="T29" s="268" t="b">
        <f t="shared" si="16"/>
        <v>1</v>
      </c>
      <c r="U29" s="268" t="b">
        <f t="shared" si="17"/>
        <v>1</v>
      </c>
    </row>
    <row r="30" spans="1:21" x14ac:dyDescent="0.25">
      <c r="A30" s="1057" t="s">
        <v>1432</v>
      </c>
      <c r="B30" s="1062">
        <v>601761</v>
      </c>
      <c r="C30" s="709"/>
      <c r="D30" s="55"/>
      <c r="E30" s="56"/>
      <c r="M30" s="1066" t="s">
        <v>1432</v>
      </c>
      <c r="N30" s="1082">
        <v>601761</v>
      </c>
      <c r="O30" s="268" t="b">
        <f t="shared" si="18"/>
        <v>1</v>
      </c>
      <c r="P30" s="268" t="b">
        <f t="shared" si="19"/>
        <v>1</v>
      </c>
      <c r="R30" s="412" t="s">
        <v>1432</v>
      </c>
      <c r="S30" s="302">
        <v>601761</v>
      </c>
      <c r="T30" s="268" t="b">
        <f>EXACT(M30,R30)</f>
        <v>1</v>
      </c>
      <c r="U30" s="268" t="b">
        <f>EXACT(N30,S30)</f>
        <v>1</v>
      </c>
    </row>
    <row r="31" spans="1:21" ht="30" x14ac:dyDescent="0.25">
      <c r="A31" s="1057" t="s">
        <v>1433</v>
      </c>
      <c r="B31" s="1062">
        <v>601797</v>
      </c>
      <c r="C31" s="709"/>
      <c r="D31" s="55"/>
      <c r="E31" s="56"/>
      <c r="M31" s="1066" t="s">
        <v>1433</v>
      </c>
      <c r="N31" s="1082">
        <v>601797</v>
      </c>
      <c r="O31" s="268" t="b">
        <f t="shared" ref="O31:O42" si="20">EXACT(A31,M31)</f>
        <v>1</v>
      </c>
      <c r="P31" s="268" t="b">
        <f t="shared" ref="P31:P42" si="21">EXACT(B31,N31)</f>
        <v>1</v>
      </c>
      <c r="R31" s="412" t="s">
        <v>1433</v>
      </c>
      <c r="S31" s="302">
        <v>601797</v>
      </c>
      <c r="T31" s="268" t="b">
        <f t="shared" ref="T31:T36" si="22">EXACT(M31,R31)</f>
        <v>1</v>
      </c>
      <c r="U31" s="268" t="b">
        <f t="shared" ref="U31:U36" si="23">EXACT(N31,S31)</f>
        <v>1</v>
      </c>
    </row>
    <row r="32" spans="1:21" ht="30" x14ac:dyDescent="0.25">
      <c r="A32" s="1057" t="s">
        <v>1434</v>
      </c>
      <c r="B32" s="1062">
        <v>602153</v>
      </c>
      <c r="C32" s="709"/>
      <c r="D32" s="55"/>
      <c r="E32" s="56"/>
      <c r="M32" s="1066" t="s">
        <v>1434</v>
      </c>
      <c r="N32" s="1082">
        <v>602153</v>
      </c>
      <c r="O32" s="268" t="b">
        <f t="shared" si="20"/>
        <v>1</v>
      </c>
      <c r="P32" s="268" t="b">
        <f t="shared" si="21"/>
        <v>1</v>
      </c>
      <c r="R32" s="412" t="s">
        <v>1434</v>
      </c>
      <c r="S32" s="302">
        <v>602153</v>
      </c>
      <c r="T32" s="268" t="b">
        <f t="shared" si="22"/>
        <v>1</v>
      </c>
      <c r="U32" s="268" t="b">
        <f t="shared" si="23"/>
        <v>1</v>
      </c>
    </row>
    <row r="33" spans="1:21" ht="30" x14ac:dyDescent="0.25">
      <c r="A33" s="1057" t="s">
        <v>1435</v>
      </c>
      <c r="B33" s="1062">
        <v>601764</v>
      </c>
      <c r="C33" s="709"/>
      <c r="D33" s="55"/>
      <c r="E33" s="56"/>
      <c r="M33" s="1066" t="s">
        <v>1435</v>
      </c>
      <c r="N33" s="1082">
        <v>601764</v>
      </c>
      <c r="O33" s="268" t="b">
        <f t="shared" si="20"/>
        <v>1</v>
      </c>
      <c r="P33" s="268" t="b">
        <f t="shared" si="21"/>
        <v>1</v>
      </c>
      <c r="R33" s="412" t="s">
        <v>1435</v>
      </c>
      <c r="S33" s="302">
        <v>601764</v>
      </c>
      <c r="T33" s="268" t="b">
        <f t="shared" si="22"/>
        <v>1</v>
      </c>
      <c r="U33" s="268" t="b">
        <f t="shared" si="23"/>
        <v>1</v>
      </c>
    </row>
    <row r="34" spans="1:21" ht="30" x14ac:dyDescent="0.25">
      <c r="A34" s="1057" t="s">
        <v>1436</v>
      </c>
      <c r="B34" s="1062">
        <v>602389</v>
      </c>
      <c r="C34" s="709"/>
      <c r="D34" s="55"/>
      <c r="E34" s="56"/>
      <c r="M34" s="1066" t="s">
        <v>1436</v>
      </c>
      <c r="N34" s="1082">
        <v>602389</v>
      </c>
      <c r="O34" s="268" t="b">
        <f t="shared" si="20"/>
        <v>1</v>
      </c>
      <c r="P34" s="268" t="b">
        <f t="shared" si="21"/>
        <v>1</v>
      </c>
      <c r="R34" s="412" t="s">
        <v>1436</v>
      </c>
      <c r="S34" s="302">
        <v>602389</v>
      </c>
      <c r="T34" s="268" t="b">
        <f t="shared" si="22"/>
        <v>1</v>
      </c>
      <c r="U34" s="268" t="b">
        <f t="shared" si="23"/>
        <v>1</v>
      </c>
    </row>
    <row r="35" spans="1:21" ht="30" x14ac:dyDescent="0.25">
      <c r="A35" s="1057" t="s">
        <v>1437</v>
      </c>
      <c r="B35" s="1062">
        <v>601765</v>
      </c>
      <c r="C35" s="709"/>
      <c r="D35" s="55"/>
      <c r="E35" s="56"/>
      <c r="M35" s="1066" t="s">
        <v>1437</v>
      </c>
      <c r="N35" s="1082">
        <v>601765</v>
      </c>
      <c r="O35" s="268" t="b">
        <f t="shared" si="20"/>
        <v>1</v>
      </c>
      <c r="P35" s="268" t="b">
        <f t="shared" si="21"/>
        <v>1</v>
      </c>
      <c r="R35" s="412" t="s">
        <v>1437</v>
      </c>
      <c r="S35" s="302">
        <v>601765</v>
      </c>
      <c r="T35" s="268" t="b">
        <f t="shared" si="22"/>
        <v>1</v>
      </c>
      <c r="U35" s="268" t="b">
        <f t="shared" si="23"/>
        <v>1</v>
      </c>
    </row>
    <row r="36" spans="1:21" x14ac:dyDescent="0.25">
      <c r="A36" s="1057" t="s">
        <v>1438</v>
      </c>
      <c r="B36" s="1062">
        <v>602178</v>
      </c>
      <c r="C36" s="709"/>
      <c r="D36" s="55"/>
      <c r="E36" s="56"/>
      <c r="M36" s="1066" t="s">
        <v>1438</v>
      </c>
      <c r="N36" s="1082">
        <v>602178</v>
      </c>
      <c r="O36" s="268" t="b">
        <f t="shared" si="20"/>
        <v>1</v>
      </c>
      <c r="P36" s="268" t="b">
        <f t="shared" si="21"/>
        <v>1</v>
      </c>
      <c r="R36" s="412" t="s">
        <v>1438</v>
      </c>
      <c r="S36" s="302">
        <v>602178</v>
      </c>
      <c r="T36" s="268" t="b">
        <f t="shared" si="22"/>
        <v>1</v>
      </c>
      <c r="U36" s="268" t="b">
        <f t="shared" si="23"/>
        <v>1</v>
      </c>
    </row>
    <row r="37" spans="1:21" x14ac:dyDescent="0.25">
      <c r="A37" s="1057" t="s">
        <v>1439</v>
      </c>
      <c r="B37" s="1062">
        <v>602390</v>
      </c>
      <c r="C37" s="709"/>
      <c r="D37" s="55"/>
      <c r="E37" s="56"/>
      <c r="M37" s="1066" t="s">
        <v>1439</v>
      </c>
      <c r="N37" s="1082">
        <v>602390</v>
      </c>
      <c r="O37" s="268" t="b">
        <f t="shared" si="20"/>
        <v>1</v>
      </c>
      <c r="P37" s="268" t="b">
        <f t="shared" si="21"/>
        <v>1</v>
      </c>
      <c r="R37" s="412" t="s">
        <v>1439</v>
      </c>
      <c r="S37" s="302">
        <v>602390</v>
      </c>
      <c r="T37" s="268" t="b">
        <f>EXACT(M37,R37)</f>
        <v>1</v>
      </c>
      <c r="U37" s="268" t="b">
        <f>EXACT(N37,S37)</f>
        <v>1</v>
      </c>
    </row>
    <row r="38" spans="1:21" x14ac:dyDescent="0.25">
      <c r="A38" s="1057" t="s">
        <v>1440</v>
      </c>
      <c r="B38" s="1062">
        <v>602391</v>
      </c>
      <c r="C38" s="709"/>
      <c r="D38" s="55"/>
      <c r="E38" s="56"/>
      <c r="M38" s="1066" t="s">
        <v>1440</v>
      </c>
      <c r="N38" s="1082">
        <v>602391</v>
      </c>
      <c r="O38" s="268" t="b">
        <f t="shared" si="20"/>
        <v>1</v>
      </c>
      <c r="P38" s="268" t="b">
        <f t="shared" si="21"/>
        <v>1</v>
      </c>
      <c r="R38" s="412" t="s">
        <v>1440</v>
      </c>
      <c r="S38" s="302">
        <v>602391</v>
      </c>
      <c r="T38" s="268" t="b">
        <f t="shared" ref="T38:T42" si="24">EXACT(M38,R38)</f>
        <v>1</v>
      </c>
      <c r="U38" s="268" t="b">
        <f t="shared" ref="U38:U42" si="25">EXACT(N38,S38)</f>
        <v>1</v>
      </c>
    </row>
    <row r="39" spans="1:21" ht="30" x14ac:dyDescent="0.25">
      <c r="A39" s="1057" t="s">
        <v>1441</v>
      </c>
      <c r="B39" s="1062">
        <v>602414</v>
      </c>
      <c r="C39" s="709"/>
      <c r="D39" s="55"/>
      <c r="E39" s="56"/>
      <c r="M39" s="1066" t="s">
        <v>1441</v>
      </c>
      <c r="N39" s="1082">
        <v>602414</v>
      </c>
      <c r="O39" s="268" t="b">
        <f t="shared" si="20"/>
        <v>1</v>
      </c>
      <c r="P39" s="268" t="b">
        <f t="shared" si="21"/>
        <v>1</v>
      </c>
      <c r="R39" s="412" t="s">
        <v>1441</v>
      </c>
      <c r="S39" s="302">
        <v>602414</v>
      </c>
      <c r="T39" s="268" t="b">
        <f t="shared" si="24"/>
        <v>1</v>
      </c>
      <c r="U39" s="268" t="b">
        <f t="shared" si="25"/>
        <v>1</v>
      </c>
    </row>
    <row r="40" spans="1:21" ht="30" x14ac:dyDescent="0.25">
      <c r="A40" s="1057" t="s">
        <v>1442</v>
      </c>
      <c r="B40" s="1062">
        <v>602395</v>
      </c>
      <c r="C40" s="709"/>
      <c r="D40" s="55"/>
      <c r="E40" s="56"/>
      <c r="M40" s="1066" t="s">
        <v>1442</v>
      </c>
      <c r="N40" s="1082">
        <v>602395</v>
      </c>
      <c r="O40" s="268" t="b">
        <f t="shared" si="20"/>
        <v>1</v>
      </c>
      <c r="P40" s="268" t="b">
        <f t="shared" si="21"/>
        <v>1</v>
      </c>
      <c r="R40" s="412" t="s">
        <v>1442</v>
      </c>
      <c r="S40" s="302">
        <v>602395</v>
      </c>
      <c r="T40" s="268" t="b">
        <f t="shared" si="24"/>
        <v>1</v>
      </c>
      <c r="U40" s="268" t="b">
        <f t="shared" si="25"/>
        <v>1</v>
      </c>
    </row>
    <row r="41" spans="1:21" x14ac:dyDescent="0.25">
      <c r="A41" s="1057" t="s">
        <v>1443</v>
      </c>
      <c r="B41" s="1062">
        <v>602333</v>
      </c>
      <c r="C41" s="709"/>
      <c r="D41" s="55"/>
      <c r="M41" s="1066" t="s">
        <v>1443</v>
      </c>
      <c r="N41" s="1082">
        <v>602333</v>
      </c>
      <c r="O41" s="268" t="b">
        <f t="shared" si="20"/>
        <v>1</v>
      </c>
      <c r="P41" s="268" t="b">
        <f t="shared" si="21"/>
        <v>1</v>
      </c>
      <c r="R41" s="412" t="s">
        <v>1443</v>
      </c>
      <c r="S41" s="302">
        <v>602333</v>
      </c>
      <c r="T41" s="268" t="b">
        <f t="shared" si="24"/>
        <v>1</v>
      </c>
      <c r="U41" s="268" t="b">
        <f t="shared" si="25"/>
        <v>1</v>
      </c>
    </row>
    <row r="42" spans="1:21" ht="30" x14ac:dyDescent="0.25">
      <c r="A42" s="1057" t="s">
        <v>1444</v>
      </c>
      <c r="B42" s="1062">
        <v>601774</v>
      </c>
      <c r="C42" s="709"/>
      <c r="D42" s="55"/>
      <c r="E42" s="56"/>
      <c r="M42" s="1066" t="s">
        <v>1444</v>
      </c>
      <c r="N42" s="1082">
        <v>601774</v>
      </c>
      <c r="O42" s="268" t="b">
        <f t="shared" si="20"/>
        <v>1</v>
      </c>
      <c r="P42" s="268" t="b">
        <f t="shared" si="21"/>
        <v>1</v>
      </c>
      <c r="R42" s="412" t="s">
        <v>1444</v>
      </c>
      <c r="S42" s="302">
        <v>601774</v>
      </c>
      <c r="T42" s="268" t="b">
        <f t="shared" si="24"/>
        <v>1</v>
      </c>
      <c r="U42" s="268" t="b">
        <f t="shared" si="25"/>
        <v>1</v>
      </c>
    </row>
    <row r="43" spans="1:21" x14ac:dyDescent="0.25">
      <c r="A43" s="1064"/>
      <c r="B43" s="1065"/>
      <c r="C43" s="709"/>
      <c r="D43" s="55"/>
      <c r="E43" s="56"/>
    </row>
    <row r="44" spans="1:21" x14ac:dyDescent="0.25">
      <c r="A44" s="1064"/>
      <c r="B44" s="1065"/>
      <c r="C44" s="709"/>
      <c r="D44" s="55"/>
      <c r="E44" s="56"/>
    </row>
    <row r="45" spans="1:21" x14ac:dyDescent="0.25">
      <c r="A45" s="1064"/>
      <c r="B45" s="1065"/>
      <c r="C45" s="709"/>
      <c r="D45" s="55"/>
      <c r="E45" s="56"/>
    </row>
    <row r="46" spans="1:21" x14ac:dyDescent="0.25">
      <c r="A46" s="1064"/>
      <c r="B46" s="1065"/>
      <c r="C46" s="709"/>
      <c r="D46" s="55"/>
      <c r="E46" s="56"/>
    </row>
    <row r="47" spans="1:21" x14ac:dyDescent="0.25">
      <c r="A47" s="1064"/>
      <c r="B47" s="1065"/>
      <c r="C47" s="709"/>
      <c r="D47" s="55"/>
      <c r="G47" s="723" t="s">
        <v>1556</v>
      </c>
      <c r="M47" s="1066" t="s">
        <v>1420</v>
      </c>
      <c r="N47" s="1079">
        <v>601725</v>
      </c>
      <c r="O47" s="268" t="e">
        <f>EXACT(#REF!,M47)</f>
        <v>#REF!</v>
      </c>
      <c r="P47" s="268" t="e">
        <f>EXACT(#REF!,N47)</f>
        <v>#REF!</v>
      </c>
      <c r="R47" s="412" t="s">
        <v>1420</v>
      </c>
      <c r="S47" s="302">
        <v>601725</v>
      </c>
      <c r="T47" s="268" t="b">
        <f>EXACT(M47,R47)</f>
        <v>1</v>
      </c>
      <c r="U47" s="268" t="b">
        <f>EXACT(N47,S47)</f>
        <v>1</v>
      </c>
    </row>
    <row r="48" spans="1:21" x14ac:dyDescent="0.25">
      <c r="A48" s="1064"/>
      <c r="B48" s="1065"/>
      <c r="C48" s="709"/>
      <c r="D48" s="55"/>
      <c r="E48" s="56"/>
    </row>
    <row r="49" spans="3:21" x14ac:dyDescent="0.25">
      <c r="C49" s="1058" t="s">
        <v>1531</v>
      </c>
      <c r="D49" s="1061">
        <v>601712</v>
      </c>
      <c r="E49" s="56"/>
      <c r="M49" s="1078"/>
      <c r="N49" s="1079"/>
      <c r="O49" s="268" t="b">
        <f t="shared" ref="O49:P55" si="26">EXACT(C49,M49)</f>
        <v>0</v>
      </c>
      <c r="P49" s="268" t="b">
        <f t="shared" si="26"/>
        <v>0</v>
      </c>
      <c r="Q49" s="727"/>
      <c r="R49" s="412"/>
      <c r="S49" s="412"/>
      <c r="T49" s="268" t="b">
        <f t="shared" ref="T49:U55" si="27">EXACT(M49,R49)</f>
        <v>1</v>
      </c>
      <c r="U49" s="268" t="b">
        <f t="shared" si="27"/>
        <v>1</v>
      </c>
    </row>
    <row r="50" spans="3:21" x14ac:dyDescent="0.25">
      <c r="C50" s="1058" t="s">
        <v>1409</v>
      </c>
      <c r="D50" s="1062">
        <v>601795</v>
      </c>
      <c r="E50" s="56"/>
      <c r="M50" s="1078" t="s">
        <v>1409</v>
      </c>
      <c r="N50" s="1082">
        <v>601795</v>
      </c>
      <c r="O50" s="268" t="b">
        <f t="shared" si="26"/>
        <v>1</v>
      </c>
      <c r="P50" s="268" t="b">
        <f t="shared" si="26"/>
        <v>1</v>
      </c>
      <c r="R50" s="412" t="s">
        <v>1409</v>
      </c>
      <c r="S50" s="412">
        <v>601795</v>
      </c>
      <c r="T50" s="268" t="b">
        <f t="shared" si="27"/>
        <v>1</v>
      </c>
      <c r="U50" s="268" t="b">
        <f t="shared" si="27"/>
        <v>1</v>
      </c>
    </row>
    <row r="51" spans="3:21" x14ac:dyDescent="0.25">
      <c r="C51" s="1058" t="s">
        <v>1532</v>
      </c>
      <c r="D51" s="1061">
        <v>604003</v>
      </c>
      <c r="E51" s="56"/>
      <c r="M51" s="1078"/>
      <c r="N51" s="1082"/>
      <c r="O51" s="268" t="b">
        <f t="shared" si="26"/>
        <v>0</v>
      </c>
      <c r="P51" s="268" t="b">
        <f t="shared" si="26"/>
        <v>0</v>
      </c>
      <c r="Q51" s="727"/>
      <c r="R51" s="412"/>
      <c r="S51" s="412"/>
      <c r="T51" s="268" t="b">
        <f t="shared" si="27"/>
        <v>1</v>
      </c>
      <c r="U51" s="268" t="b">
        <f t="shared" si="27"/>
        <v>1</v>
      </c>
    </row>
    <row r="52" spans="3:21" x14ac:dyDescent="0.25">
      <c r="C52" s="1058" t="s">
        <v>1535</v>
      </c>
      <c r="D52" s="1062">
        <v>601778</v>
      </c>
      <c r="E52" s="56"/>
      <c r="M52" s="1066"/>
      <c r="N52" s="1082"/>
      <c r="O52" s="268" t="b">
        <f t="shared" si="26"/>
        <v>0</v>
      </c>
      <c r="P52" s="268" t="b">
        <f t="shared" si="26"/>
        <v>0</v>
      </c>
      <c r="Q52" s="727"/>
      <c r="R52" s="412"/>
      <c r="S52" s="302"/>
      <c r="T52" s="268" t="b">
        <f t="shared" si="27"/>
        <v>1</v>
      </c>
      <c r="U52" s="268" t="b">
        <f t="shared" si="27"/>
        <v>1</v>
      </c>
    </row>
    <row r="53" spans="3:21" x14ac:dyDescent="0.25">
      <c r="C53" s="1058" t="s">
        <v>1536</v>
      </c>
      <c r="D53" s="1062">
        <v>601793</v>
      </c>
      <c r="E53" s="56"/>
      <c r="M53" s="1066"/>
      <c r="N53" s="1082"/>
      <c r="O53" s="268" t="b">
        <f t="shared" si="26"/>
        <v>0</v>
      </c>
      <c r="P53" s="268" t="b">
        <f t="shared" si="26"/>
        <v>0</v>
      </c>
      <c r="Q53" s="727"/>
      <c r="R53" s="412"/>
      <c r="S53" s="302"/>
      <c r="T53" s="268" t="b">
        <f t="shared" si="27"/>
        <v>1</v>
      </c>
      <c r="U53" s="268" t="b">
        <f t="shared" si="27"/>
        <v>1</v>
      </c>
    </row>
    <row r="54" spans="3:21" x14ac:dyDescent="0.25">
      <c r="C54" s="1058" t="s">
        <v>1537</v>
      </c>
      <c r="D54" s="1062">
        <v>601430</v>
      </c>
      <c r="E54" s="56"/>
      <c r="M54" s="1066"/>
      <c r="N54" s="1082"/>
      <c r="O54" s="268" t="b">
        <f t="shared" si="26"/>
        <v>0</v>
      </c>
      <c r="P54" s="268" t="b">
        <f t="shared" si="26"/>
        <v>0</v>
      </c>
      <c r="Q54" s="727"/>
      <c r="R54" s="412"/>
      <c r="S54" s="302"/>
      <c r="T54" s="268" t="b">
        <f t="shared" si="27"/>
        <v>1</v>
      </c>
      <c r="U54" s="268" t="b">
        <f t="shared" si="27"/>
        <v>1</v>
      </c>
    </row>
    <row r="55" spans="3:21" x14ac:dyDescent="0.25">
      <c r="C55" s="1058" t="s">
        <v>1538</v>
      </c>
      <c r="D55" s="1062">
        <v>601734</v>
      </c>
      <c r="E55" s="56"/>
      <c r="M55" s="1066"/>
      <c r="N55" s="1082"/>
      <c r="O55" s="268" t="b">
        <f t="shared" si="26"/>
        <v>0</v>
      </c>
      <c r="P55" s="268" t="b">
        <f t="shared" si="26"/>
        <v>0</v>
      </c>
      <c r="Q55" s="727"/>
      <c r="R55" s="412"/>
      <c r="S55" s="302"/>
      <c r="T55" s="268" t="b">
        <f t="shared" si="27"/>
        <v>1</v>
      </c>
      <c r="U55" s="268" t="b">
        <f t="shared" si="27"/>
        <v>1</v>
      </c>
    </row>
    <row r="56" spans="3:21" ht="38.25" x14ac:dyDescent="0.25">
      <c r="C56" s="1057" t="s">
        <v>1533</v>
      </c>
      <c r="D56" s="1061">
        <v>604173</v>
      </c>
      <c r="E56" s="723" t="s">
        <v>1555</v>
      </c>
    </row>
    <row r="57" spans="3:21" ht="63.75" x14ac:dyDescent="0.25">
      <c r="C57" s="1057" t="s">
        <v>1534</v>
      </c>
      <c r="D57" s="1062">
        <v>601741</v>
      </c>
    </row>
  </sheetData>
  <sheetProtection algorithmName="SHA-512" hashValue="xndJmJ2Ewm5Mqa4+ORRj4Kpfj+msqbeHa4XFina/rI1zkJvrl9ZKAVlfIaZCDjuRG6iXXrcboKuXf1a0LeEhTg==" saltValue="E7lz8Lk3orhEY9W8BFHdBQ==" spinCount="100000" sheet="1" objects="1" scenarios="1"/>
  <sortState xmlns:xlrd2="http://schemas.microsoft.com/office/spreadsheetml/2017/richdata2" ref="A2:B48">
    <sortCondition ref="A2:A48"/>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A2" sqref="A2:H2"/>
    </sheetView>
  </sheetViews>
  <sheetFormatPr defaultColWidth="9.140625" defaultRowHeight="15" x14ac:dyDescent="0.25"/>
  <cols>
    <col min="1" max="1" width="45.140625" style="427" customWidth="1"/>
    <col min="2" max="2" width="36.42578125" style="427" customWidth="1"/>
    <col min="3" max="3" width="9.140625" style="427"/>
    <col min="4" max="4" width="1.28515625" style="427" customWidth="1"/>
    <col min="5" max="5" width="37.5703125" style="427" customWidth="1"/>
    <col min="6" max="6" width="18.140625" style="427" customWidth="1"/>
    <col min="7" max="7" width="16.140625" style="427" customWidth="1"/>
    <col min="8" max="8" width="3.140625" style="427" customWidth="1"/>
    <col min="9" max="16384" width="9.140625" style="427"/>
  </cols>
  <sheetData>
    <row r="1" spans="1:8" x14ac:dyDescent="0.25">
      <c r="A1" s="428"/>
      <c r="B1" s="429"/>
      <c r="C1" s="430"/>
      <c r="D1" s="430"/>
      <c r="E1" s="431"/>
      <c r="F1" s="430"/>
      <c r="G1" s="430"/>
      <c r="H1" s="430"/>
    </row>
    <row r="2" spans="1:8" x14ac:dyDescent="0.25">
      <c r="A2" s="432" t="s">
        <v>750</v>
      </c>
      <c r="B2" s="433" t="str">
        <f>+'Unit Data from Audit Worksheet'!D2</f>
        <v>Select Unit Name from Drop Down List</v>
      </c>
      <c r="C2" s="430"/>
      <c r="D2" s="430"/>
      <c r="E2" s="431"/>
      <c r="F2" s="430"/>
      <c r="G2" s="430"/>
      <c r="H2" s="430"/>
    </row>
    <row r="3" spans="1:8" x14ac:dyDescent="0.25">
      <c r="A3" s="432" t="s">
        <v>848</v>
      </c>
      <c r="B3" s="430" t="e">
        <f>+'Unit Data from Audit Worksheet'!D3</f>
        <v>#N/A</v>
      </c>
      <c r="C3" s="430"/>
      <c r="D3" s="430"/>
      <c r="E3" s="431"/>
      <c r="F3" s="430"/>
      <c r="G3" s="430"/>
      <c r="H3" s="430"/>
    </row>
    <row r="4" spans="1:8" x14ac:dyDescent="0.25">
      <c r="A4" s="430"/>
      <c r="B4" s="430"/>
      <c r="C4" s="430"/>
      <c r="D4" s="430"/>
      <c r="E4" s="431"/>
      <c r="F4" s="430"/>
      <c r="G4" s="430"/>
      <c r="H4" s="430"/>
    </row>
    <row r="5" spans="1:8" x14ac:dyDescent="0.25">
      <c r="A5" s="1334" t="s">
        <v>751</v>
      </c>
      <c r="B5" s="1334"/>
      <c r="C5" s="1334"/>
      <c r="D5" s="430"/>
      <c r="E5" s="1335" t="s">
        <v>752</v>
      </c>
      <c r="F5" s="1335"/>
      <c r="G5" s="430"/>
      <c r="H5" s="430"/>
    </row>
    <row r="6" spans="1:8" ht="15.75" thickBot="1" x14ac:dyDescent="0.3">
      <c r="A6" s="434"/>
      <c r="B6" s="435"/>
      <c r="C6" s="434"/>
      <c r="D6" s="428"/>
      <c r="E6" s="434"/>
      <c r="F6" s="435"/>
      <c r="G6" s="435"/>
      <c r="H6" s="430"/>
    </row>
    <row r="7" spans="1:8" ht="15.75" thickBot="1" x14ac:dyDescent="0.3">
      <c r="A7" s="436" t="s">
        <v>753</v>
      </c>
      <c r="B7" s="437">
        <v>0.03</v>
      </c>
      <c r="C7" s="437"/>
      <c r="D7" s="437"/>
      <c r="E7" s="437"/>
      <c r="F7" s="437"/>
      <c r="G7" s="437"/>
      <c r="H7" s="437"/>
    </row>
    <row r="8" spans="1:8" ht="15.75" thickBot="1" x14ac:dyDescent="0.3">
      <c r="A8" s="430" t="s">
        <v>1098</v>
      </c>
      <c r="B8" s="438" t="e">
        <f>HLOOKUP(B2,'2020 Data(H)'!F1:CC395,353,FALSE)</f>
        <v>#N/A</v>
      </c>
      <c r="C8" s="439"/>
      <c r="D8" s="439"/>
      <c r="E8" s="439"/>
      <c r="F8" s="430"/>
      <c r="G8" s="430"/>
      <c r="H8" s="430"/>
    </row>
    <row r="9" spans="1:8" ht="15.75" thickBot="1" x14ac:dyDescent="0.3">
      <c r="A9" s="430" t="s">
        <v>755</v>
      </c>
      <c r="B9" s="440" t="e">
        <f>B8*B7</f>
        <v>#N/A</v>
      </c>
      <c r="C9" s="441"/>
      <c r="D9" s="441"/>
      <c r="E9" s="441"/>
      <c r="F9" s="430"/>
      <c r="G9" s="430"/>
      <c r="H9" s="430"/>
    </row>
    <row r="10" spans="1:8" ht="15.75" thickBot="1" x14ac:dyDescent="0.3">
      <c r="A10" s="430"/>
      <c r="B10" s="430"/>
      <c r="C10" s="430"/>
      <c r="D10" s="430"/>
      <c r="E10" s="430"/>
      <c r="F10" s="430"/>
      <c r="G10" s="430"/>
      <c r="H10" s="430"/>
    </row>
    <row r="11" spans="1:8" ht="15.75" thickBot="1" x14ac:dyDescent="0.3">
      <c r="A11" s="436" t="s">
        <v>756</v>
      </c>
      <c r="B11" s="437">
        <v>0.05</v>
      </c>
      <c r="C11" s="437"/>
      <c r="D11" s="437"/>
      <c r="E11" s="437"/>
      <c r="F11" s="437"/>
      <c r="G11" s="437"/>
      <c r="H11" s="437"/>
    </row>
    <row r="12" spans="1:8" ht="15.75" thickBot="1" x14ac:dyDescent="0.3">
      <c r="A12" s="430" t="s">
        <v>1099</v>
      </c>
      <c r="B12" s="442" t="e">
        <f>HLOOKUP(B2,'2020 Data(H)'!F1:CC395,55,FALSE)</f>
        <v>#N/A</v>
      </c>
      <c r="C12" s="443"/>
      <c r="D12" s="443"/>
      <c r="E12" s="443"/>
      <c r="F12" s="430"/>
      <c r="G12" s="430"/>
      <c r="H12" s="430"/>
    </row>
    <row r="13" spans="1:8" ht="15.75" thickBot="1" x14ac:dyDescent="0.3">
      <c r="A13" s="430" t="s">
        <v>755</v>
      </c>
      <c r="B13" s="440" t="e">
        <f>B12*B11</f>
        <v>#N/A</v>
      </c>
      <c r="C13" s="441"/>
      <c r="D13" s="441"/>
      <c r="E13" s="441"/>
      <c r="F13" s="430"/>
      <c r="G13" s="430"/>
      <c r="H13" s="430"/>
    </row>
    <row r="14" spans="1:8" ht="15.75" thickBot="1" x14ac:dyDescent="0.3">
      <c r="A14" s="430"/>
      <c r="B14" s="430"/>
      <c r="C14" s="430"/>
      <c r="D14" s="430"/>
      <c r="E14" s="444" t="s">
        <v>757</v>
      </c>
      <c r="F14" s="445">
        <f>+Import!L177</f>
        <v>0</v>
      </c>
      <c r="G14" s="446"/>
      <c r="H14" s="430"/>
    </row>
    <row r="15" spans="1:8" x14ac:dyDescent="0.25">
      <c r="A15" s="430"/>
      <c r="B15" s="430"/>
      <c r="C15" s="430"/>
      <c r="D15" s="430"/>
      <c r="E15" s="430"/>
      <c r="F15" s="430"/>
      <c r="G15" s="430"/>
      <c r="H15" s="447"/>
    </row>
    <row r="16" spans="1:8" x14ac:dyDescent="0.25">
      <c r="A16" s="430"/>
      <c r="B16" s="444"/>
      <c r="C16" s="430"/>
      <c r="D16" s="430"/>
      <c r="E16" s="430"/>
      <c r="F16" s="430"/>
      <c r="G16" s="430"/>
      <c r="H16" s="430"/>
    </row>
    <row r="17" spans="1:8" x14ac:dyDescent="0.25">
      <c r="A17" s="434"/>
      <c r="B17" s="435"/>
      <c r="C17" s="434"/>
      <c r="D17" s="428"/>
      <c r="E17" s="434"/>
      <c r="F17" s="435"/>
      <c r="G17" s="435"/>
      <c r="H17" s="430"/>
    </row>
    <row r="18" spans="1:8" ht="15.75" thickBot="1" x14ac:dyDescent="0.3">
      <c r="A18" s="448" t="s">
        <v>758</v>
      </c>
      <c r="B18" s="430"/>
      <c r="C18" s="430"/>
      <c r="D18" s="430"/>
      <c r="E18" s="448" t="s">
        <v>758</v>
      </c>
      <c r="F18" s="432" t="s">
        <v>759</v>
      </c>
      <c r="G18" s="432" t="s">
        <v>760</v>
      </c>
      <c r="H18" s="430"/>
    </row>
    <row r="19" spans="1:8" ht="15.75" thickBot="1" x14ac:dyDescent="0.3">
      <c r="A19" s="430" t="s">
        <v>754</v>
      </c>
      <c r="B19" s="438" t="e">
        <f>+B8</f>
        <v>#N/A</v>
      </c>
      <c r="C19" s="439"/>
      <c r="D19" s="439"/>
      <c r="E19" s="430" t="s">
        <v>761</v>
      </c>
      <c r="F19" s="449">
        <f>+Import!L229</f>
        <v>0</v>
      </c>
      <c r="G19" s="450" t="e">
        <f>+B21</f>
        <v>#N/A</v>
      </c>
      <c r="H19" s="430"/>
    </row>
    <row r="20" spans="1:8" ht="15.75" thickBot="1" x14ac:dyDescent="0.3">
      <c r="A20" s="430" t="s">
        <v>762</v>
      </c>
      <c r="B20" s="451">
        <f>+Import!L243</f>
        <v>0</v>
      </c>
      <c r="C20" s="430"/>
      <c r="D20" s="430"/>
      <c r="E20" s="430"/>
      <c r="F20" s="452"/>
      <c r="G20" s="430"/>
      <c r="H20" s="430"/>
    </row>
    <row r="21" spans="1:8" ht="15.75" thickBot="1" x14ac:dyDescent="0.3">
      <c r="A21" s="430" t="s">
        <v>755</v>
      </c>
      <c r="B21" s="440" t="e">
        <f>ROUND((B19/100)*B20,0)</f>
        <v>#N/A</v>
      </c>
      <c r="C21" s="453"/>
      <c r="D21" s="441"/>
      <c r="E21" s="430"/>
      <c r="F21" s="430"/>
      <c r="G21" s="430"/>
      <c r="H21" s="430"/>
    </row>
    <row r="22" spans="1:8" ht="15.75" thickBot="1" x14ac:dyDescent="0.3">
      <c r="A22" s="430"/>
      <c r="B22" s="430"/>
      <c r="C22" s="454"/>
      <c r="D22" s="454"/>
      <c r="E22" s="430"/>
      <c r="F22" s="430"/>
      <c r="G22" s="430"/>
      <c r="H22" s="430"/>
    </row>
    <row r="23" spans="1:8" ht="15.75" thickBot="1" x14ac:dyDescent="0.3">
      <c r="A23" s="444"/>
      <c r="B23" s="455"/>
      <c r="C23" s="430"/>
      <c r="D23" s="430"/>
      <c r="E23" s="456" t="s">
        <v>763</v>
      </c>
      <c r="F23" s="440">
        <f>IF(F19=0,F14-F19,F14-MAX(F19,G19))</f>
        <v>0</v>
      </c>
      <c r="G23" s="457"/>
      <c r="H23" s="441"/>
    </row>
    <row r="24" spans="1:8" x14ac:dyDescent="0.25">
      <c r="A24" s="430"/>
      <c r="B24" s="430"/>
      <c r="C24" s="430"/>
      <c r="D24" s="430"/>
      <c r="E24" s="430"/>
      <c r="F24" s="453"/>
      <c r="G24" s="453"/>
      <c r="H24" s="441"/>
    </row>
    <row r="25" spans="1:8" x14ac:dyDescent="0.25">
      <c r="A25" s="434"/>
      <c r="B25" s="435"/>
      <c r="C25" s="434"/>
      <c r="D25" s="428"/>
      <c r="E25" s="434"/>
      <c r="F25" s="435"/>
      <c r="G25" s="435"/>
      <c r="H25" s="430"/>
    </row>
    <row r="26" spans="1:8" ht="15.75" thickBot="1" x14ac:dyDescent="0.3">
      <c r="A26" s="430"/>
      <c r="B26" s="430"/>
      <c r="C26" s="430"/>
      <c r="D26" s="448"/>
      <c r="E26" s="448" t="s">
        <v>764</v>
      </c>
      <c r="F26" s="448"/>
      <c r="G26" s="448"/>
      <c r="H26" s="448"/>
    </row>
    <row r="27" spans="1:8" ht="15.75" thickBot="1" x14ac:dyDescent="0.3">
      <c r="A27" s="430"/>
      <c r="B27" s="430"/>
      <c r="C27" s="430"/>
      <c r="D27" s="454"/>
      <c r="E27" s="430" t="s">
        <v>765</v>
      </c>
      <c r="F27" s="458" t="e">
        <f>MAX(B9,B13)</f>
        <v>#N/A</v>
      </c>
      <c r="G27" s="454"/>
      <c r="H27" s="430"/>
    </row>
    <row r="28" spans="1:8" ht="15.75" thickBot="1" x14ac:dyDescent="0.3">
      <c r="A28" s="430"/>
      <c r="B28" s="430"/>
      <c r="C28" s="430"/>
      <c r="D28" s="454"/>
      <c r="E28" s="430"/>
      <c r="F28" s="454"/>
      <c r="G28" s="454"/>
      <c r="H28" s="430"/>
    </row>
    <row r="29" spans="1:8" ht="33.75" customHeight="1" x14ac:dyDescent="0.25">
      <c r="A29" s="430"/>
      <c r="B29" s="430"/>
      <c r="C29" s="430"/>
      <c r="D29" s="459"/>
      <c r="E29" s="430" t="s">
        <v>766</v>
      </c>
      <c r="F29" s="460" t="e">
        <f>IF(F23&lt;=F27,"Yes", "No, unit exceeds limit by:")</f>
        <v>#N/A</v>
      </c>
      <c r="G29" s="430"/>
      <c r="H29" s="430"/>
    </row>
    <row r="30" spans="1:8" ht="15.75" thickBot="1" x14ac:dyDescent="0.3">
      <c r="A30" s="430"/>
      <c r="B30" s="430"/>
      <c r="C30" s="430"/>
      <c r="D30" s="459"/>
      <c r="E30" s="430"/>
      <c r="F30" s="461" t="e">
        <f>IF(F23-F27&lt;=0,0,F23-F27)</f>
        <v>#N/A</v>
      </c>
      <c r="G30" s="462"/>
      <c r="H30" s="430"/>
    </row>
    <row r="31" spans="1:8" ht="15.75" thickBot="1" x14ac:dyDescent="0.3">
      <c r="A31" s="430"/>
      <c r="B31" s="430"/>
      <c r="C31" s="430"/>
      <c r="D31" s="430"/>
      <c r="E31" s="430"/>
      <c r="F31" s="430"/>
      <c r="G31" s="430"/>
      <c r="H31" s="430"/>
    </row>
    <row r="32" spans="1:8" x14ac:dyDescent="0.25">
      <c r="A32" s="430"/>
      <c r="B32" s="430"/>
      <c r="C32" s="430"/>
      <c r="D32" s="430"/>
      <c r="E32" s="456" t="s">
        <v>767</v>
      </c>
      <c r="F32" s="463">
        <f>IF(F19=0,0,F19-G19)</f>
        <v>0</v>
      </c>
      <c r="G32" s="430"/>
      <c r="H32" s="430"/>
    </row>
    <row r="33" spans="1:7" ht="15.75" thickBot="1" x14ac:dyDescent="0.3">
      <c r="A33" s="430"/>
      <c r="B33" s="430"/>
      <c r="C33" s="430"/>
      <c r="D33" s="430"/>
      <c r="E33" s="430"/>
      <c r="F33" s="464" t="s">
        <v>441</v>
      </c>
      <c r="G33" s="430"/>
    </row>
    <row r="34" spans="1:7" x14ac:dyDescent="0.25">
      <c r="A34" s="428"/>
      <c r="B34" s="430"/>
      <c r="C34" s="430"/>
      <c r="D34" s="430"/>
      <c r="E34" s="428" t="s">
        <v>768</v>
      </c>
      <c r="F34" s="430"/>
      <c r="G34" s="430"/>
    </row>
    <row r="35" spans="1:7" x14ac:dyDescent="0.25">
      <c r="A35" s="465"/>
      <c r="B35" s="465"/>
      <c r="C35" s="465"/>
      <c r="D35" s="430"/>
      <c r="E35" s="1336" t="s">
        <v>1100</v>
      </c>
      <c r="F35" s="1337"/>
      <c r="G35" s="1338"/>
    </row>
    <row r="36" spans="1:7" x14ac:dyDescent="0.25">
      <c r="A36" s="465"/>
      <c r="B36" s="465"/>
      <c r="C36" s="465"/>
      <c r="D36" s="430"/>
      <c r="E36" s="1339"/>
      <c r="F36" s="1340"/>
      <c r="G36" s="1341"/>
    </row>
    <row r="37" spans="1:7" x14ac:dyDescent="0.25">
      <c r="A37" s="465"/>
      <c r="B37" s="465"/>
      <c r="C37" s="465"/>
      <c r="D37" s="430"/>
      <c r="E37" s="1339"/>
      <c r="F37" s="1340"/>
      <c r="G37" s="1341"/>
    </row>
    <row r="38" spans="1:7" x14ac:dyDescent="0.25">
      <c r="A38" s="465"/>
      <c r="B38" s="465"/>
      <c r="C38" s="465"/>
      <c r="D38" s="430"/>
      <c r="E38" s="1342"/>
      <c r="F38" s="1343"/>
      <c r="G38" s="1344"/>
    </row>
    <row r="39" spans="1:7" x14ac:dyDescent="0.25">
      <c r="A39" s="465"/>
      <c r="B39" s="465"/>
      <c r="C39" s="465"/>
      <c r="D39" s="430"/>
      <c r="E39" s="466"/>
      <c r="F39" s="466"/>
      <c r="G39" s="466"/>
    </row>
    <row r="40" spans="1:7" x14ac:dyDescent="0.25">
      <c r="A40" s="465"/>
      <c r="B40" s="465"/>
      <c r="C40" s="465"/>
      <c r="D40" s="430"/>
      <c r="E40" s="1336" t="s">
        <v>1101</v>
      </c>
      <c r="F40" s="1337"/>
      <c r="G40" s="1338"/>
    </row>
    <row r="41" spans="1:7" x14ac:dyDescent="0.25">
      <c r="A41" s="430"/>
      <c r="B41" s="430"/>
      <c r="C41" s="430"/>
      <c r="D41" s="430"/>
      <c r="E41" s="1339"/>
      <c r="F41" s="1340"/>
      <c r="G41" s="1341"/>
    </row>
    <row r="42" spans="1:7" x14ac:dyDescent="0.25">
      <c r="A42" s="430"/>
      <c r="B42" s="430"/>
      <c r="C42" s="430"/>
      <c r="D42" s="430"/>
      <c r="E42" s="1342"/>
      <c r="F42" s="1343"/>
      <c r="G42" s="1344"/>
    </row>
    <row r="43" spans="1:7" x14ac:dyDescent="0.25">
      <c r="A43" s="430"/>
      <c r="B43" s="430"/>
      <c r="C43" s="430"/>
      <c r="D43" s="430"/>
      <c r="E43" s="430"/>
      <c r="F43" s="430"/>
      <c r="G43" s="430"/>
    </row>
    <row r="44" spans="1:7" ht="15.75" thickBot="1" x14ac:dyDescent="0.3">
      <c r="A44" s="430"/>
      <c r="B44" s="430"/>
      <c r="C44" s="430"/>
      <c r="D44" s="430"/>
      <c r="E44" s="1345" t="s">
        <v>769</v>
      </c>
      <c r="F44" s="1345"/>
      <c r="G44" s="1345"/>
    </row>
    <row r="45" spans="1:7" x14ac:dyDescent="0.25">
      <c r="A45" s="430"/>
      <c r="B45" s="430"/>
      <c r="C45" s="430"/>
      <c r="D45" s="430"/>
      <c r="E45" s="1325"/>
      <c r="F45" s="1326"/>
      <c r="G45" s="1327"/>
    </row>
    <row r="46" spans="1:7" x14ac:dyDescent="0.25">
      <c r="A46" s="430"/>
      <c r="B46" s="430"/>
      <c r="C46" s="430"/>
      <c r="D46" s="430"/>
      <c r="E46" s="1328"/>
      <c r="F46" s="1329"/>
      <c r="G46" s="1330"/>
    </row>
    <row r="47" spans="1:7" x14ac:dyDescent="0.25">
      <c r="A47" s="430"/>
      <c r="B47" s="430"/>
      <c r="C47" s="430"/>
      <c r="D47" s="430"/>
      <c r="E47" s="1328"/>
      <c r="F47" s="1329"/>
      <c r="G47" s="1330"/>
    </row>
    <row r="48" spans="1:7" x14ac:dyDescent="0.25">
      <c r="A48" s="430"/>
      <c r="B48" s="430"/>
      <c r="C48" s="430"/>
      <c r="D48" s="430"/>
      <c r="E48" s="1328"/>
      <c r="F48" s="1329"/>
      <c r="G48" s="1330"/>
    </row>
    <row r="49" spans="5:7" x14ac:dyDescent="0.25">
      <c r="E49" s="1328"/>
      <c r="F49" s="1329"/>
      <c r="G49" s="1330"/>
    </row>
    <row r="50" spans="5:7" x14ac:dyDescent="0.25">
      <c r="E50" s="1328"/>
      <c r="F50" s="1329"/>
      <c r="G50" s="1330"/>
    </row>
    <row r="51" spans="5:7" x14ac:dyDescent="0.25">
      <c r="E51" s="1328"/>
      <c r="F51" s="1329"/>
      <c r="G51" s="1330"/>
    </row>
    <row r="52" spans="5:7" x14ac:dyDescent="0.25">
      <c r="E52" s="1328"/>
      <c r="F52" s="1329"/>
      <c r="G52" s="1330"/>
    </row>
    <row r="53" spans="5:7" x14ac:dyDescent="0.25">
      <c r="E53" s="1328"/>
      <c r="F53" s="1329"/>
      <c r="G53" s="1330"/>
    </row>
    <row r="54" spans="5:7" x14ac:dyDescent="0.25">
      <c r="E54" s="1328"/>
      <c r="F54" s="1329"/>
      <c r="G54" s="1330"/>
    </row>
    <row r="55" spans="5:7" x14ac:dyDescent="0.25">
      <c r="E55" s="1328"/>
      <c r="F55" s="1329"/>
      <c r="G55" s="1330"/>
    </row>
    <row r="56" spans="5:7" ht="15.75" thickBot="1" x14ac:dyDescent="0.3">
      <c r="E56" s="1331"/>
      <c r="F56" s="1332"/>
      <c r="G56" s="1333"/>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40625" defaultRowHeight="15" x14ac:dyDescent="0.25"/>
  <cols>
    <col min="1" max="1" width="10.28515625" style="18" customWidth="1"/>
    <col min="2" max="2" width="16.28515625" style="5" customWidth="1"/>
    <col min="3" max="3" width="17.42578125" style="5" customWidth="1"/>
    <col min="4" max="4" width="46.28515625" style="727" customWidth="1"/>
    <col min="5" max="5" width="17.140625" style="18" customWidth="1"/>
    <col min="6" max="6" width="21.5703125" style="727" customWidth="1"/>
    <col min="7" max="7" width="26.7109375" style="821" customWidth="1"/>
    <col min="8" max="8" width="25.140625" style="613" customWidth="1"/>
    <col min="9" max="9" width="24" style="727" customWidth="1"/>
    <col min="10" max="10" width="13.5703125" style="18" hidden="1" customWidth="1"/>
    <col min="11" max="11" width="11.7109375" style="18" hidden="1" customWidth="1"/>
    <col min="12" max="12" width="15.7109375" style="18" hidden="1" customWidth="1"/>
    <col min="13" max="13" width="11" style="18" hidden="1" customWidth="1"/>
    <col min="14" max="14" width="3.28515625" style="295" hidden="1" customWidth="1"/>
    <col min="15" max="15" width="2.140625" style="18" hidden="1" customWidth="1"/>
    <col min="16" max="16" width="0" style="18" hidden="1" customWidth="1"/>
    <col min="17" max="17" width="15.140625" style="18" hidden="1" customWidth="1"/>
    <col min="18" max="25" width="9.140625" style="18"/>
    <col min="26" max="26" width="30.7109375" style="655" customWidth="1"/>
    <col min="27" max="1881" width="9.140625" style="18"/>
    <col min="1882" max="16384" width="9.140625" style="727"/>
  </cols>
  <sheetData>
    <row r="1" spans="1:44" ht="15.75" thickBot="1" x14ac:dyDescent="0.3">
      <c r="B1" s="823" t="s">
        <v>489</v>
      </c>
      <c r="C1" s="823"/>
      <c r="E1" s="730" t="s">
        <v>36</v>
      </c>
      <c r="F1" s="731">
        <v>2021</v>
      </c>
      <c r="G1" s="123" t="s">
        <v>126</v>
      </c>
      <c r="H1" s="732"/>
      <c r="I1" s="733"/>
      <c r="J1" s="734" t="s">
        <v>1029</v>
      </c>
      <c r="M1" s="18" t="s">
        <v>51</v>
      </c>
      <c r="O1" s="18">
        <v>1</v>
      </c>
    </row>
    <row r="2" spans="1:44" ht="44.25" customHeight="1" thickBot="1" x14ac:dyDescent="0.3">
      <c r="B2" s="1191" t="s">
        <v>319</v>
      </c>
      <c r="C2" s="1192"/>
      <c r="D2" s="735" t="s">
        <v>1311</v>
      </c>
      <c r="E2" s="1189" t="s">
        <v>333</v>
      </c>
      <c r="F2" s="1189"/>
      <c r="G2" s="1190"/>
      <c r="H2" s="1180" t="s">
        <v>1596</v>
      </c>
      <c r="M2" s="18" t="s">
        <v>52</v>
      </c>
      <c r="N2" s="295">
        <v>50</v>
      </c>
      <c r="O2" s="18">
        <v>2</v>
      </c>
    </row>
    <row r="3" spans="1:44" ht="15.75" thickBot="1" x14ac:dyDescent="0.3">
      <c r="B3" s="824" t="s">
        <v>0</v>
      </c>
      <c r="C3" s="825"/>
      <c r="D3" s="737" t="e">
        <f>VLOOKUP(D2,'Unit Names(H)'!A2:B107,2,FALSE)</f>
        <v>#N/A</v>
      </c>
      <c r="E3" s="933"/>
      <c r="F3" s="738"/>
      <c r="G3" s="739"/>
      <c r="H3" s="736"/>
      <c r="N3" s="295">
        <v>51</v>
      </c>
      <c r="O3" s="18">
        <v>3</v>
      </c>
    </row>
    <row r="4" spans="1:44" ht="15.75" thickBot="1" x14ac:dyDescent="0.3">
      <c r="B4" s="826" t="s">
        <v>1147</v>
      </c>
      <c r="C4" s="827"/>
      <c r="D4" s="740"/>
      <c r="E4" s="740"/>
      <c r="F4" s="741"/>
      <c r="G4" s="742"/>
      <c r="H4" s="736"/>
      <c r="I4" s="2"/>
      <c r="M4" s="18" t="s">
        <v>370</v>
      </c>
      <c r="N4" s="295">
        <v>52</v>
      </c>
      <c r="O4" s="18">
        <v>4</v>
      </c>
    </row>
    <row r="5" spans="1:44" ht="37.5" customHeight="1" x14ac:dyDescent="0.25">
      <c r="A5" s="689" t="s">
        <v>486</v>
      </c>
      <c r="B5" s="580" t="s">
        <v>111</v>
      </c>
      <c r="C5" s="580" t="s">
        <v>128</v>
      </c>
      <c r="D5" s="743" t="s">
        <v>1</v>
      </c>
      <c r="E5" s="743">
        <v>2020</v>
      </c>
      <c r="F5" s="744">
        <v>2021</v>
      </c>
      <c r="G5" s="745" t="s">
        <v>1269</v>
      </c>
      <c r="H5" s="746" t="s">
        <v>339</v>
      </c>
      <c r="I5" s="731" t="s">
        <v>13</v>
      </c>
      <c r="M5" s="18" t="s">
        <v>557</v>
      </c>
    </row>
    <row r="6" spans="1:44" ht="22.5" customHeight="1" x14ac:dyDescent="0.25">
      <c r="A6" s="579"/>
      <c r="B6" s="872" t="s">
        <v>127</v>
      </c>
      <c r="C6" s="873"/>
      <c r="D6" s="874"/>
      <c r="E6" s="875"/>
      <c r="F6" s="876"/>
      <c r="G6" s="868"/>
      <c r="H6" s="17"/>
      <c r="M6" s="18" t="s">
        <v>536</v>
      </c>
    </row>
    <row r="7" spans="1:44" s="18" customFormat="1" ht="63.75" customHeight="1" thickBot="1" x14ac:dyDescent="0.3">
      <c r="A7" s="108">
        <v>333</v>
      </c>
      <c r="B7" s="655" t="s">
        <v>67</v>
      </c>
      <c r="C7" s="655" t="s">
        <v>129</v>
      </c>
      <c r="D7" s="726" t="s">
        <v>1148</v>
      </c>
      <c r="E7" s="687" t="e">
        <f>HLOOKUP($D$2,'2020 Data(H)'!$C$1:$CZ$426,99,FALSE)</f>
        <v>#N/A</v>
      </c>
      <c r="F7" s="294">
        <v>0</v>
      </c>
      <c r="G7" s="748">
        <f>IF(F7&lt;0,"Note: Number is normally positive.",)</f>
        <v>0</v>
      </c>
      <c r="H7" s="749"/>
      <c r="I7" s="750"/>
      <c r="J7" s="595" t="s">
        <v>1008</v>
      </c>
      <c r="L7" s="713"/>
      <c r="M7" s="18" t="s">
        <v>558</v>
      </c>
      <c r="N7" s="295"/>
      <c r="Q7" s="294">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
      <c r="A8" s="108">
        <v>500</v>
      </c>
      <c r="B8" s="655" t="s">
        <v>55</v>
      </c>
      <c r="C8" s="655" t="s">
        <v>129</v>
      </c>
      <c r="D8" s="726" t="s">
        <v>1149</v>
      </c>
      <c r="E8" s="687" t="e">
        <f>HLOOKUP($D$2,'2020 Data(H)'!$C$1:$CZ$426,150,FALSE)</f>
        <v>#N/A</v>
      </c>
      <c r="F8" s="294">
        <v>0</v>
      </c>
      <c r="G8" s="748">
        <f>IF(F8&lt;0,"Note: Number is normally positive.",)</f>
        <v>0</v>
      </c>
      <c r="H8" s="749"/>
      <c r="I8" s="749"/>
      <c r="J8" s="595"/>
      <c r="L8" s="722"/>
      <c r="M8" s="18" t="s">
        <v>559</v>
      </c>
      <c r="N8" s="295"/>
      <c r="Q8" s="294">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
      <c r="A9" s="108">
        <v>385</v>
      </c>
      <c r="B9" s="613" t="s">
        <v>60</v>
      </c>
      <c r="C9" s="655" t="s">
        <v>129</v>
      </c>
      <c r="D9" s="107" t="s">
        <v>130</v>
      </c>
      <c r="E9" s="687" t="e">
        <f>HLOOKUP($D$2,'2020 Data(H)'!$C$1:$CZ$426,144,FALSE)-E11</f>
        <v>#N/A</v>
      </c>
      <c r="F9" s="294">
        <v>0</v>
      </c>
      <c r="G9" s="748">
        <f>IF((F7+F8)&gt;F9,"Error: Please review Account numbers (333+500)&gt;385",)</f>
        <v>0</v>
      </c>
      <c r="H9" s="17"/>
      <c r="I9" s="749"/>
      <c r="J9" s="595"/>
      <c r="L9" s="722"/>
      <c r="Q9" s="294">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
      <c r="A10" s="108">
        <v>575</v>
      </c>
      <c r="B10" s="655" t="s">
        <v>70</v>
      </c>
      <c r="C10" s="655" t="s">
        <v>129</v>
      </c>
      <c r="D10" s="828" t="s">
        <v>1150</v>
      </c>
      <c r="E10" s="687" t="e">
        <f>HLOOKUP($D$2,'2020 Data(H)'!$C$1:$CZ$426,225,FALSE)</f>
        <v>#N/A</v>
      </c>
      <c r="F10" s="294">
        <v>0</v>
      </c>
      <c r="G10" s="748">
        <f>IF(F10&lt;0,"Note: Number is normally positive.",)</f>
        <v>0</v>
      </c>
      <c r="H10" s="751"/>
      <c r="I10" s="752"/>
      <c r="L10" s="722"/>
      <c r="N10" s="295"/>
      <c r="Q10" s="294">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
      <c r="A11" s="108">
        <v>576</v>
      </c>
      <c r="B11" s="655" t="s">
        <v>70</v>
      </c>
      <c r="C11" s="655" t="s">
        <v>129</v>
      </c>
      <c r="D11" s="828" t="s">
        <v>1151</v>
      </c>
      <c r="E11" s="687" t="e">
        <f>HLOOKUP($D$2,'2020 Data(H)'!$C$1:$CZ$426,226,FALSE)</f>
        <v>#N/A</v>
      </c>
      <c r="F11" s="294">
        <v>0</v>
      </c>
      <c r="G11" s="748">
        <f>IF(F11&lt;0,"Error: Enter as positive.",)</f>
        <v>0</v>
      </c>
      <c r="H11" s="751"/>
      <c r="I11" s="752"/>
      <c r="J11" s="595"/>
      <c r="L11" s="722"/>
      <c r="N11" s="295"/>
      <c r="Q11" s="294">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
      <c r="A12" s="314">
        <v>626</v>
      </c>
      <c r="B12" s="829" t="s">
        <v>582</v>
      </c>
      <c r="C12" s="829" t="s">
        <v>129</v>
      </c>
      <c r="D12" s="345" t="s">
        <v>1152</v>
      </c>
      <c r="E12" s="687" t="e">
        <f>HLOOKUP($D$2,'2020 Data(H)'!$C$1:$CZ$426,285,FALSE)-E11</f>
        <v>#N/A</v>
      </c>
      <c r="F12" s="294">
        <v>0</v>
      </c>
      <c r="G12" s="748">
        <f>IF(F12&lt;0,"Error: Enter as positive.",)</f>
        <v>0</v>
      </c>
      <c r="H12" s="753"/>
      <c r="I12" s="753"/>
      <c r="J12" s="595"/>
      <c r="L12" s="722"/>
      <c r="Q12" s="294">
        <v>136667</v>
      </c>
      <c r="Z12" s="314"/>
      <c r="AA12" s="314"/>
      <c r="AB12" s="314"/>
      <c r="AC12" s="314"/>
      <c r="AD12" s="314"/>
      <c r="AE12" s="314"/>
      <c r="AF12" s="314"/>
      <c r="AG12" s="314"/>
      <c r="AH12" s="314"/>
      <c r="AI12" s="314"/>
      <c r="AJ12" s="314"/>
      <c r="AK12" s="314"/>
      <c r="AL12" s="314"/>
      <c r="AM12" s="314"/>
      <c r="AN12" s="314"/>
      <c r="AO12" s="314"/>
      <c r="AP12" s="314"/>
      <c r="AQ12" s="314"/>
      <c r="AR12" s="314"/>
    </row>
    <row r="13" spans="1:44" ht="89.25" customHeight="1" thickBot="1" x14ac:dyDescent="0.3">
      <c r="A13" s="313">
        <v>627</v>
      </c>
      <c r="B13" s="830" t="s">
        <v>454</v>
      </c>
      <c r="C13" s="829" t="s">
        <v>129</v>
      </c>
      <c r="D13" s="345" t="s">
        <v>1153</v>
      </c>
      <c r="E13" s="687" t="e">
        <f>HLOOKUP($D$2,'2020 Data(H)'!$C$1:$CZ$426,286,FALSE)</f>
        <v>#N/A</v>
      </c>
      <c r="F13" s="294">
        <v>0</v>
      </c>
      <c r="G13" s="748">
        <f>IF(F13&gt;F12,"Please review account numbers 627 &gt;626",)</f>
        <v>0</v>
      </c>
      <c r="H13" s="753"/>
      <c r="I13" s="753"/>
      <c r="J13" s="595"/>
      <c r="L13" s="722"/>
      <c r="Q13" s="294">
        <v>0</v>
      </c>
      <c r="Z13" s="313"/>
      <c r="AA13" s="313"/>
      <c r="AB13" s="313"/>
      <c r="AC13" s="313"/>
      <c r="AD13" s="313"/>
      <c r="AE13" s="313"/>
      <c r="AF13" s="313"/>
      <c r="AG13" s="313"/>
      <c r="AH13" s="313"/>
      <c r="AI13" s="313"/>
      <c r="AJ13" s="313"/>
      <c r="AK13" s="313"/>
      <c r="AL13" s="313"/>
      <c r="AM13" s="313"/>
      <c r="AN13" s="313"/>
      <c r="AO13" s="313"/>
      <c r="AP13" s="313"/>
      <c r="AQ13" s="313"/>
      <c r="AR13" s="313"/>
    </row>
    <row r="14" spans="1:44" ht="105" customHeight="1" thickBot="1" x14ac:dyDescent="0.3">
      <c r="A14" s="313">
        <v>628</v>
      </c>
      <c r="B14" s="830" t="s">
        <v>454</v>
      </c>
      <c r="C14" s="829" t="s">
        <v>129</v>
      </c>
      <c r="D14" s="345" t="s">
        <v>1154</v>
      </c>
      <c r="E14" s="687" t="e">
        <f>HLOOKUP($D$2,'2020 Data(H)'!$C$1:$CZ$426,287,FALSE)</f>
        <v>#N/A</v>
      </c>
      <c r="F14" s="294">
        <v>0</v>
      </c>
      <c r="G14" s="748">
        <f>IF(F14&gt;F12,"Please review account numbers 628 &gt; 626",)</f>
        <v>0</v>
      </c>
      <c r="H14" s="753"/>
      <c r="I14" s="753"/>
      <c r="J14" s="595"/>
      <c r="L14" s="722"/>
      <c r="Q14" s="294">
        <v>56141</v>
      </c>
      <c r="Z14" s="313"/>
      <c r="AA14" s="313"/>
      <c r="AB14" s="313"/>
      <c r="AC14" s="313"/>
      <c r="AD14" s="313"/>
      <c r="AE14" s="313"/>
      <c r="AF14" s="313"/>
      <c r="AG14" s="313"/>
      <c r="AH14" s="313"/>
      <c r="AI14" s="313"/>
      <c r="AJ14" s="313"/>
      <c r="AK14" s="313"/>
      <c r="AL14" s="313"/>
      <c r="AM14" s="313"/>
      <c r="AN14" s="313"/>
      <c r="AO14" s="313"/>
      <c r="AP14" s="313"/>
      <c r="AQ14" s="313"/>
      <c r="AR14" s="313"/>
    </row>
    <row r="15" spans="1:44" ht="95.25" customHeight="1" thickBot="1" x14ac:dyDescent="0.3">
      <c r="A15" s="313">
        <v>629</v>
      </c>
      <c r="B15" s="830" t="s">
        <v>454</v>
      </c>
      <c r="C15" s="829" t="s">
        <v>129</v>
      </c>
      <c r="D15" s="345" t="s">
        <v>1155</v>
      </c>
      <c r="E15" s="687" t="e">
        <f>HLOOKUP($D$2,'2020 Data(H)'!$C$1:$CZ$426,288,FALSE)</f>
        <v>#N/A</v>
      </c>
      <c r="F15" s="294">
        <v>0</v>
      </c>
      <c r="G15" s="748">
        <f>IF(F15&gt;F12,"Please review account numbers 629 &gt; 626",)</f>
        <v>0</v>
      </c>
      <c r="H15" s="753"/>
      <c r="I15" s="753"/>
      <c r="J15" s="595"/>
      <c r="L15" s="722"/>
      <c r="Q15" s="294">
        <v>0</v>
      </c>
      <c r="Z15" s="313"/>
      <c r="AA15" s="313"/>
      <c r="AB15" s="313"/>
      <c r="AC15" s="313"/>
      <c r="AD15" s="313"/>
      <c r="AE15" s="313"/>
      <c r="AF15" s="313"/>
      <c r="AG15" s="313"/>
      <c r="AH15" s="313"/>
      <c r="AI15" s="313"/>
      <c r="AJ15" s="313"/>
      <c r="AK15" s="313"/>
      <c r="AL15" s="313"/>
      <c r="AM15" s="313"/>
      <c r="AN15" s="313"/>
      <c r="AO15" s="313"/>
      <c r="AP15" s="313"/>
      <c r="AQ15" s="313"/>
      <c r="AR15" s="313"/>
    </row>
    <row r="16" spans="1:44" ht="69" customHeight="1" thickBot="1" x14ac:dyDescent="0.3">
      <c r="A16" s="313">
        <v>630</v>
      </c>
      <c r="B16" s="830" t="s">
        <v>454</v>
      </c>
      <c r="C16" s="829" t="s">
        <v>129</v>
      </c>
      <c r="D16" s="345" t="s">
        <v>552</v>
      </c>
      <c r="E16" s="687" t="e">
        <f>HLOOKUP($D$2,'2020 Data(H)'!$C$1:$CZ$426,289,FALSE)</f>
        <v>#N/A</v>
      </c>
      <c r="F16" s="294">
        <v>0</v>
      </c>
      <c r="G16" s="748">
        <f>IF(F16&gt;F12,"Please review account numbers 630 &gt; 626",)</f>
        <v>0</v>
      </c>
      <c r="H16" s="753"/>
      <c r="I16" s="753"/>
      <c r="J16" s="595"/>
      <c r="L16" s="722"/>
      <c r="Q16" s="294">
        <v>0</v>
      </c>
      <c r="Z16" s="313"/>
      <c r="AA16" s="313"/>
      <c r="AB16" s="313"/>
      <c r="AC16" s="313"/>
      <c r="AD16" s="313"/>
      <c r="AE16" s="313"/>
      <c r="AF16" s="313"/>
      <c r="AG16" s="313"/>
      <c r="AH16" s="313"/>
      <c r="AI16" s="313"/>
      <c r="AJ16" s="313"/>
      <c r="AK16" s="313"/>
      <c r="AL16" s="313"/>
      <c r="AM16" s="313"/>
      <c r="AN16" s="313"/>
      <c r="AO16" s="313"/>
      <c r="AP16" s="313"/>
      <c r="AQ16" s="313"/>
      <c r="AR16" s="313"/>
    </row>
    <row r="17" spans="1:44" ht="95.25" customHeight="1" thickBot="1" x14ac:dyDescent="0.3">
      <c r="A17" s="313">
        <v>631</v>
      </c>
      <c r="B17" s="830" t="s">
        <v>454</v>
      </c>
      <c r="C17" s="829" t="s">
        <v>129</v>
      </c>
      <c r="D17" s="345" t="s">
        <v>1156</v>
      </c>
      <c r="E17" s="687" t="e">
        <f>HLOOKUP($D$2,'2020 Data(H)'!$C$1:$CZ$426,290,FALSE)</f>
        <v>#N/A</v>
      </c>
      <c r="F17" s="294">
        <v>0</v>
      </c>
      <c r="G17" s="748">
        <f>IF(F17&gt;F12,"Please review account numbers 631 &gt; 626",)</f>
        <v>0</v>
      </c>
      <c r="H17" s="753"/>
      <c r="I17" s="753"/>
      <c r="J17" s="595"/>
      <c r="L17" s="722"/>
      <c r="Q17" s="294">
        <v>0</v>
      </c>
      <c r="Z17" s="313"/>
      <c r="AA17" s="313"/>
      <c r="AB17" s="313"/>
      <c r="AC17" s="313"/>
      <c r="AD17" s="313"/>
      <c r="AE17" s="313"/>
      <c r="AF17" s="313"/>
      <c r="AG17" s="313"/>
      <c r="AH17" s="313"/>
      <c r="AI17" s="313"/>
      <c r="AJ17" s="313"/>
      <c r="AK17" s="313"/>
      <c r="AL17" s="313"/>
      <c r="AM17" s="313"/>
      <c r="AN17" s="313"/>
      <c r="AO17" s="313"/>
      <c r="AP17" s="313"/>
      <c r="AQ17" s="313"/>
      <c r="AR17" s="313"/>
    </row>
    <row r="18" spans="1:44" ht="111.75" hidden="1" customHeight="1" thickBot="1" x14ac:dyDescent="0.3">
      <c r="A18" s="313">
        <v>632</v>
      </c>
      <c r="B18" s="830" t="s">
        <v>454</v>
      </c>
      <c r="C18" s="829" t="s">
        <v>129</v>
      </c>
      <c r="D18" s="345" t="s">
        <v>1157</v>
      </c>
      <c r="E18" s="687" t="e">
        <f>HLOOKUP($D$2,'2020 Data(H)'!$C$1:$CZ$426,291,FALSE)</f>
        <v>#N/A</v>
      </c>
      <c r="F18" s="294">
        <v>0</v>
      </c>
      <c r="G18" s="748">
        <f>IF(F18&gt;F12,"Please review account numbers 632 &gt; 626",)</f>
        <v>0</v>
      </c>
      <c r="H18" s="753"/>
      <c r="I18" s="753"/>
      <c r="J18" s="595"/>
      <c r="L18" s="722"/>
      <c r="Q18" s="294">
        <v>0</v>
      </c>
      <c r="Z18" s="313"/>
      <c r="AA18" s="313"/>
      <c r="AB18" s="313"/>
      <c r="AC18" s="313"/>
      <c r="AD18" s="313"/>
      <c r="AE18" s="313"/>
      <c r="AF18" s="313"/>
      <c r="AG18" s="313"/>
      <c r="AH18" s="313"/>
      <c r="AI18" s="313"/>
      <c r="AJ18" s="313"/>
      <c r="AK18" s="313"/>
      <c r="AL18" s="313"/>
      <c r="AM18" s="313"/>
      <c r="AN18" s="313"/>
      <c r="AO18" s="313"/>
      <c r="AP18" s="313"/>
      <c r="AQ18" s="313"/>
      <c r="AR18" s="313"/>
    </row>
    <row r="19" spans="1:44" ht="55.5" customHeight="1" thickBot="1" x14ac:dyDescent="0.3">
      <c r="A19" s="108">
        <v>338</v>
      </c>
      <c r="B19" s="613" t="s">
        <v>56</v>
      </c>
      <c r="C19" s="655" t="s">
        <v>129</v>
      </c>
      <c r="D19" s="107" t="s">
        <v>131</v>
      </c>
      <c r="E19" s="687" t="e">
        <f>HLOOKUP($D$2,'2020 Data(H)'!$C$1:$CZ$426,104,FALSE)</f>
        <v>#N/A</v>
      </c>
      <c r="F19" s="294">
        <v>0</v>
      </c>
      <c r="G19" s="748" t="str">
        <f>IF(F12&gt;F19,"Error: Please review accts 626 &gt; 338","")</f>
        <v/>
      </c>
      <c r="H19" s="17"/>
      <c r="I19" s="749"/>
      <c r="J19" s="595"/>
      <c r="L19" s="722"/>
      <c r="Q19" s="294">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
      <c r="A20" s="108">
        <v>335</v>
      </c>
      <c r="B20" s="613" t="s">
        <v>56</v>
      </c>
      <c r="C20" s="655" t="s">
        <v>129</v>
      </c>
      <c r="D20" s="726" t="s">
        <v>1158</v>
      </c>
      <c r="E20" s="687" t="e">
        <f>HLOOKUP($D$2,'2020 Data(H)'!$C$1:$CZ$426,101,FALSE)</f>
        <v>#N/A</v>
      </c>
      <c r="F20" s="294">
        <v>0</v>
      </c>
      <c r="G20" s="748">
        <f>IF(F20&lt;0,"Error: Enter as positive.",)</f>
        <v>0</v>
      </c>
      <c r="H20" s="17"/>
      <c r="I20" s="380"/>
      <c r="J20" s="595"/>
      <c r="L20" s="722"/>
      <c r="Q20" s="294">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
      <c r="A21" s="108">
        <v>252</v>
      </c>
      <c r="B21" s="613" t="s">
        <v>56</v>
      </c>
      <c r="C21" s="655" t="s">
        <v>129</v>
      </c>
      <c r="D21" s="107" t="s">
        <v>132</v>
      </c>
      <c r="E21" s="687" t="e">
        <f>HLOOKUP($D$2,'2020 Data(H)'!$C$1:$CZ$426,78,FALSE)</f>
        <v>#N/A</v>
      </c>
      <c r="F21" s="294">
        <v>0</v>
      </c>
      <c r="G21" s="754"/>
      <c r="H21" s="17"/>
      <c r="I21" s="79"/>
      <c r="J21" s="595"/>
      <c r="L21" s="722"/>
      <c r="Q21" s="294">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5.75" thickBot="1" x14ac:dyDescent="0.3">
      <c r="A22" s="108">
        <v>253</v>
      </c>
      <c r="B22" s="613" t="s">
        <v>56</v>
      </c>
      <c r="C22" s="655" t="s">
        <v>129</v>
      </c>
      <c r="D22" s="107" t="s">
        <v>133</v>
      </c>
      <c r="E22" s="687" t="e">
        <f>HLOOKUP($D$2,'2020 Data(H)'!$C$1:$CZ$426,79,FALSE)</f>
        <v>#N/A</v>
      </c>
      <c r="F22" s="294">
        <v>0</v>
      </c>
      <c r="G22" s="748"/>
      <c r="H22" s="17"/>
      <c r="I22" s="79"/>
      <c r="J22" s="595"/>
      <c r="L22" s="722"/>
      <c r="Q22" s="294">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
      <c r="A23" s="108">
        <v>254</v>
      </c>
      <c r="B23" s="613" t="s">
        <v>56</v>
      </c>
      <c r="C23" s="655" t="s">
        <v>129</v>
      </c>
      <c r="D23" s="107" t="s">
        <v>1159</v>
      </c>
      <c r="E23" s="687" t="e">
        <f>HLOOKUP($D$2,'2020 Data(H)'!$C$1:$CZ$426,80,FALSE)</f>
        <v>#N/A</v>
      </c>
      <c r="F23" s="294">
        <v>0</v>
      </c>
      <c r="G23" s="748">
        <f>IF(H23=0,,"Error: Total assets and deferred outflows less total liabilities and deferred inflows do not equal total net position. Account numbers  385-338-252-253-254 = 0.  The amount the formula is off is located in the cell to the right")</f>
        <v>0</v>
      </c>
      <c r="H23" s="751">
        <f>F9-F19-F21-F22-F23</f>
        <v>0</v>
      </c>
      <c r="I23" s="79"/>
      <c r="J23" s="595"/>
      <c r="L23" s="722"/>
      <c r="Q23" s="294">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
      <c r="A24" s="108"/>
      <c r="B24" s="860" t="s">
        <v>134</v>
      </c>
      <c r="C24" s="861"/>
      <c r="D24" s="865"/>
      <c r="E24" s="866"/>
      <c r="F24" s="877"/>
      <c r="G24" s="878"/>
      <c r="H24" s="17"/>
      <c r="I24" s="79"/>
      <c r="L24" s="722"/>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
      <c r="A25" s="108">
        <v>502</v>
      </c>
      <c r="B25" s="613" t="s">
        <v>55</v>
      </c>
      <c r="C25" s="655" t="s">
        <v>136</v>
      </c>
      <c r="D25" s="726" t="s">
        <v>1160</v>
      </c>
      <c r="E25" s="687" t="e">
        <f>HLOOKUP($D$2,'2020 Data(H)'!$C$1:$CZ$426,152,FALSE)</f>
        <v>#N/A</v>
      </c>
      <c r="F25" s="294">
        <v>0</v>
      </c>
      <c r="G25" s="748">
        <f>IF(F25&lt;0,"Note: Number is normally positive.",)</f>
        <v>0</v>
      </c>
      <c r="H25" s="17"/>
      <c r="I25" s="79"/>
      <c r="L25" s="722"/>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
      <c r="A26" s="108">
        <v>503</v>
      </c>
      <c r="B26" s="613" t="s">
        <v>55</v>
      </c>
      <c r="C26" s="655" t="s">
        <v>136</v>
      </c>
      <c r="D26" s="107" t="s">
        <v>135</v>
      </c>
      <c r="E26" s="687" t="e">
        <f>HLOOKUP($D$2,'2020 Data(H)'!$C$1:$CZ$426,153,FALSE)</f>
        <v>#N/A</v>
      </c>
      <c r="F26" s="272">
        <v>0</v>
      </c>
      <c r="G26" s="748">
        <f>IF(F26&lt;0,"Note: Number is normally positive.",)</f>
        <v>0</v>
      </c>
      <c r="H26" s="17"/>
      <c r="I26" s="79"/>
      <c r="L26" s="722"/>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
      <c r="A27" s="108"/>
      <c r="B27" s="860" t="s">
        <v>137</v>
      </c>
      <c r="C27" s="861"/>
      <c r="D27" s="865"/>
      <c r="E27" s="866"/>
      <c r="F27" s="867"/>
      <c r="G27" s="868"/>
      <c r="H27" s="17"/>
      <c r="I27" s="79"/>
      <c r="L27" s="722"/>
      <c r="Z27" s="108"/>
      <c r="AA27" s="108"/>
      <c r="AB27" s="108"/>
      <c r="AC27" s="108"/>
      <c r="AD27" s="108"/>
      <c r="AE27" s="108"/>
      <c r="AF27" s="108"/>
      <c r="AG27" s="108"/>
      <c r="AH27" s="108"/>
      <c r="AI27" s="108"/>
      <c r="AJ27" s="108"/>
      <c r="AK27" s="108"/>
      <c r="AL27" s="108"/>
      <c r="AM27" s="108"/>
      <c r="AN27" s="108"/>
      <c r="AO27" s="108"/>
      <c r="AP27" s="108"/>
      <c r="AQ27" s="108"/>
      <c r="AR27" s="108"/>
    </row>
    <row r="28" spans="1:44" ht="49.5" hidden="1" customHeight="1" thickBot="1" x14ac:dyDescent="0.3">
      <c r="A28" s="108">
        <v>344</v>
      </c>
      <c r="B28" s="613" t="s">
        <v>56</v>
      </c>
      <c r="C28" s="613" t="s">
        <v>144</v>
      </c>
      <c r="D28" s="107" t="s">
        <v>138</v>
      </c>
      <c r="E28" s="687" t="e">
        <f>HLOOKUP($D$2,'2020 Data(H)'!$C$1:$CZ$426,110,FALSE)</f>
        <v>#N/A</v>
      </c>
      <c r="F28" s="294">
        <v>0</v>
      </c>
      <c r="G28" s="748">
        <f t="shared" ref="G28:G35" si="0">IF(F28&lt;0,"Error: Enter as positive.",)</f>
        <v>0</v>
      </c>
      <c r="H28" s="17"/>
      <c r="I28" s="79"/>
      <c r="L28" s="722"/>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
      <c r="A29" s="108">
        <v>388</v>
      </c>
      <c r="B29" s="613" t="s">
        <v>60</v>
      </c>
      <c r="C29" s="613" t="s">
        <v>144</v>
      </c>
      <c r="D29" s="107" t="s">
        <v>139</v>
      </c>
      <c r="E29" s="687" t="e">
        <f>HLOOKUP($D$2,'2020 Data(H)'!$C$1:$CZ$426,147,FALSE)</f>
        <v>#N/A</v>
      </c>
      <c r="F29" s="294">
        <v>0</v>
      </c>
      <c r="G29" s="748">
        <f t="shared" si="0"/>
        <v>0</v>
      </c>
      <c r="H29" s="17"/>
      <c r="I29" s="79"/>
      <c r="J29" s="595"/>
      <c r="L29" s="722"/>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
      <c r="A30" s="108">
        <v>339</v>
      </c>
      <c r="B30" s="613" t="s">
        <v>56</v>
      </c>
      <c r="C30" s="613" t="s">
        <v>144</v>
      </c>
      <c r="D30" s="107" t="s">
        <v>140</v>
      </c>
      <c r="E30" s="687" t="e">
        <f>HLOOKUP($D$2,'2020 Data(H)'!$C$1:$CZ$426,105,FALSE)</f>
        <v>#N/A</v>
      </c>
      <c r="F30" s="294">
        <v>0</v>
      </c>
      <c r="G30" s="748">
        <f t="shared" si="0"/>
        <v>0</v>
      </c>
      <c r="H30" s="17"/>
      <c r="I30" s="79"/>
      <c r="J30" s="595"/>
      <c r="L30" s="722"/>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
      <c r="A31" s="108">
        <v>504</v>
      </c>
      <c r="B31" s="613" t="s">
        <v>56</v>
      </c>
      <c r="C31" s="613" t="s">
        <v>144</v>
      </c>
      <c r="D31" s="107" t="s">
        <v>141</v>
      </c>
      <c r="E31" s="687" t="e">
        <f>HLOOKUP($D$2,'2020 Data(H)'!$C$1:$CZ$426,154,FALSE)</f>
        <v>#N/A</v>
      </c>
      <c r="F31" s="294">
        <v>0</v>
      </c>
      <c r="G31" s="748">
        <f t="shared" si="0"/>
        <v>0</v>
      </c>
      <c r="H31" s="17"/>
      <c r="I31" s="79"/>
      <c r="J31" s="595"/>
      <c r="L31" s="722"/>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
      <c r="A32" s="108">
        <v>505</v>
      </c>
      <c r="B32" s="613" t="s">
        <v>56</v>
      </c>
      <c r="C32" s="613" t="s">
        <v>144</v>
      </c>
      <c r="D32" s="706" t="s">
        <v>142</v>
      </c>
      <c r="E32" s="687" t="e">
        <f>HLOOKUP($D$2,'2020 Data(H)'!$C$1:$CZ$426,155,FALSE)</f>
        <v>#N/A</v>
      </c>
      <c r="F32" s="294">
        <v>0</v>
      </c>
      <c r="G32" s="748">
        <f t="shared" si="0"/>
        <v>0</v>
      </c>
      <c r="H32" s="17"/>
      <c r="I32" s="79"/>
      <c r="J32" s="595"/>
      <c r="L32" s="722"/>
      <c r="Z32" s="108"/>
      <c r="AA32" s="108"/>
      <c r="AB32" s="108"/>
      <c r="AC32" s="108"/>
      <c r="AD32" s="108"/>
      <c r="AE32" s="108"/>
      <c r="AF32" s="108"/>
      <c r="AG32" s="108"/>
      <c r="AH32" s="108"/>
      <c r="AI32" s="108"/>
      <c r="AJ32" s="108"/>
      <c r="AK32" s="108"/>
      <c r="AL32" s="108"/>
      <c r="AM32" s="108"/>
      <c r="AN32" s="108"/>
      <c r="AO32" s="108"/>
      <c r="AP32" s="108"/>
      <c r="AQ32" s="108"/>
      <c r="AR32" s="108"/>
    </row>
    <row r="33" spans="1:44" ht="67.900000000000006" customHeight="1" thickBot="1" x14ac:dyDescent="0.3">
      <c r="A33" s="108">
        <v>341</v>
      </c>
      <c r="B33" s="613" t="s">
        <v>56</v>
      </c>
      <c r="C33" s="613" t="s">
        <v>144</v>
      </c>
      <c r="D33" s="726" t="s">
        <v>1161</v>
      </c>
      <c r="E33" s="687" t="e">
        <f>HLOOKUP($D$2,'2020 Data(H)'!$C$1:$CZ$426,107,FALSE)</f>
        <v>#N/A</v>
      </c>
      <c r="F33" s="294">
        <v>0</v>
      </c>
      <c r="G33" s="748">
        <f t="shared" si="0"/>
        <v>0</v>
      </c>
      <c r="H33" s="17"/>
      <c r="I33" s="79"/>
      <c r="J33" s="595"/>
      <c r="L33" s="722"/>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
      <c r="A34" s="108">
        <v>386</v>
      </c>
      <c r="B34" s="613" t="s">
        <v>56</v>
      </c>
      <c r="C34" s="613" t="s">
        <v>144</v>
      </c>
      <c r="D34" s="107" t="s">
        <v>1162</v>
      </c>
      <c r="E34" s="687" t="e">
        <f>HLOOKUP($D$2,'2020 Data(H)'!$C$1:$CZ$426,145,FALSE)</f>
        <v>#N/A</v>
      </c>
      <c r="F34" s="294">
        <v>0</v>
      </c>
      <c r="G34" s="748">
        <f t="shared" si="0"/>
        <v>0</v>
      </c>
      <c r="H34" s="17"/>
      <c r="I34" s="79"/>
      <c r="L34" s="722"/>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
      <c r="A35" s="108">
        <v>387</v>
      </c>
      <c r="B35" s="613" t="s">
        <v>60</v>
      </c>
      <c r="C35" s="613" t="s">
        <v>144</v>
      </c>
      <c r="D35" s="107" t="s">
        <v>1163</v>
      </c>
      <c r="E35" s="687" t="e">
        <f>HLOOKUP($D$2,'2020 Data(H)'!$C$1:$CZ$426,146,FALSE)</f>
        <v>#N/A</v>
      </c>
      <c r="F35" s="294">
        <v>0</v>
      </c>
      <c r="G35" s="748">
        <f t="shared" si="0"/>
        <v>0</v>
      </c>
      <c r="H35" s="17"/>
      <c r="I35" s="79"/>
      <c r="L35" s="722"/>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
      <c r="A36" s="108">
        <v>389</v>
      </c>
      <c r="B36" s="613" t="s">
        <v>60</v>
      </c>
      <c r="C36" s="613" t="s">
        <v>144</v>
      </c>
      <c r="D36" s="726" t="s">
        <v>1164</v>
      </c>
      <c r="E36" s="687" t="e">
        <f>HLOOKUP($D$2,'2020 Data(H)'!$C$1:$CZ$426,148,FALSE)</f>
        <v>#N/A</v>
      </c>
      <c r="F36" s="294">
        <v>0</v>
      </c>
      <c r="G36" s="748"/>
      <c r="H36" s="17"/>
      <c r="I36" s="79"/>
      <c r="J36" s="595"/>
      <c r="L36" s="722"/>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
      <c r="A37" s="108">
        <v>255</v>
      </c>
      <c r="B37" s="613" t="s">
        <v>56</v>
      </c>
      <c r="C37" s="613" t="s">
        <v>144</v>
      </c>
      <c r="D37" s="726" t="s">
        <v>1165</v>
      </c>
      <c r="E37" s="687" t="e">
        <f>HLOOKUP($D$2,'2020 Data(H)'!$C$1:$CZ$426,81,FALSE)</f>
        <v>#N/A</v>
      </c>
      <c r="F37" s="294">
        <v>0</v>
      </c>
      <c r="G37" s="748">
        <f>IF(H37=0,,"Error: Total revenues less total expenses do not equal total change in net position. Account numbers 339+504+505+341+386-387+389-388-255 = 0  The amount the formula is off is located in the cell to the right")</f>
        <v>0</v>
      </c>
      <c r="H37" s="751">
        <f>F30+F31+F32+F33+F34-F35+F36-F29-F37</f>
        <v>0</v>
      </c>
      <c r="I37" s="79"/>
      <c r="J37" s="595"/>
      <c r="L37" s="722"/>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
      <c r="A38" s="108">
        <v>376</v>
      </c>
      <c r="B38" s="613" t="s">
        <v>56</v>
      </c>
      <c r="C38" s="613" t="s">
        <v>144</v>
      </c>
      <c r="D38" s="726" t="s">
        <v>1166</v>
      </c>
      <c r="E38" s="687" t="e">
        <f>HLOOKUP($D$2,'2020 Data(H)'!$C$1:$CZ$426,135,FALSE)</f>
        <v>#N/A</v>
      </c>
      <c r="F38" s="292">
        <v>0</v>
      </c>
      <c r="G38" s="930" t="e">
        <f>IF(H38=0,,"Error: Beginning Balance does not agree with our records.  Account numbers  252+253+254-255-376-(Prior Year 252+253+254)=0  The amount the formula is off is located in the cell to the right")</f>
        <v>#N/A</v>
      </c>
      <c r="H38" s="755" t="e">
        <f>F21+F22+F23-F37-F38-(E21+E22+E23)</f>
        <v>#N/A</v>
      </c>
      <c r="I38" s="1181" t="s">
        <v>1593</v>
      </c>
      <c r="J38" s="595"/>
      <c r="L38" s="722"/>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
      <c r="A39" s="108">
        <v>597</v>
      </c>
      <c r="B39" s="655" t="s">
        <v>372</v>
      </c>
      <c r="C39" s="655" t="s">
        <v>411</v>
      </c>
      <c r="D39" s="831" t="s">
        <v>1167</v>
      </c>
      <c r="E39" s="687" t="e">
        <f>HLOOKUP($D$2,'2020 Data(H)'!$C$1:$CZ$426,256,FALSE)</f>
        <v>#N/A</v>
      </c>
      <c r="F39" s="292">
        <v>0</v>
      </c>
      <c r="G39" s="748">
        <f>IF(F39&lt;0,"Note: Number is normally positive.",)</f>
        <v>0</v>
      </c>
      <c r="H39" s="749"/>
      <c r="I39" s="750"/>
      <c r="J39" s="595"/>
      <c r="L39" s="722"/>
      <c r="N39" s="295"/>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
      <c r="A40" s="108"/>
      <c r="B40" s="860" t="s">
        <v>371</v>
      </c>
      <c r="C40" s="861"/>
      <c r="D40" s="865"/>
      <c r="E40" s="866"/>
      <c r="F40" s="867"/>
      <c r="G40" s="868"/>
      <c r="H40" s="17"/>
      <c r="I40" s="79"/>
      <c r="L40" s="722"/>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
      <c r="A41" s="108">
        <v>592</v>
      </c>
      <c r="B41" s="655" t="s">
        <v>59</v>
      </c>
      <c r="C41" s="655" t="s">
        <v>373</v>
      </c>
      <c r="D41" s="726" t="s">
        <v>1168</v>
      </c>
      <c r="E41" s="687" t="e">
        <f>HLOOKUP($D$2,'2020 Data(H)'!$C$1:$CZ$426,253,FALSE)</f>
        <v>#N/A</v>
      </c>
      <c r="F41" s="756">
        <v>0</v>
      </c>
      <c r="G41" s="748"/>
      <c r="H41" s="749"/>
      <c r="J41" s="595"/>
      <c r="L41" s="722"/>
      <c r="N41" s="295"/>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
      <c r="A42" s="108">
        <v>591</v>
      </c>
      <c r="B42" s="655" t="s">
        <v>59</v>
      </c>
      <c r="C42" s="655" t="s">
        <v>373</v>
      </c>
      <c r="D42" s="107" t="s">
        <v>374</v>
      </c>
      <c r="E42" s="687" t="e">
        <f>HLOOKUP($D$2,'2020 Data(H)'!$C$1:$CZ$426,252,FALSE)</f>
        <v>#N/A</v>
      </c>
      <c r="F42" s="756">
        <v>0</v>
      </c>
      <c r="G42" s="748">
        <f>IF(F42&lt;0,"Error: Enter as positive.",)</f>
        <v>0</v>
      </c>
      <c r="H42" s="749"/>
      <c r="J42" s="595"/>
      <c r="L42" s="722"/>
      <c r="N42" s="295"/>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
      <c r="A43" s="108">
        <v>593</v>
      </c>
      <c r="B43" s="655" t="s">
        <v>59</v>
      </c>
      <c r="C43" s="832" t="s">
        <v>373</v>
      </c>
      <c r="D43" s="107" t="s">
        <v>1111</v>
      </c>
      <c r="E43" s="687" t="s">
        <v>1270</v>
      </c>
      <c r="F43" s="756">
        <v>0</v>
      </c>
      <c r="G43" s="748"/>
      <c r="H43" s="749"/>
      <c r="J43" s="595"/>
      <c r="L43" s="722"/>
      <c r="N43" s="295"/>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
      <c r="A44" s="108">
        <v>594</v>
      </c>
      <c r="B44" s="655" t="s">
        <v>59</v>
      </c>
      <c r="C44" s="832" t="s">
        <v>373</v>
      </c>
      <c r="D44" s="107" t="s">
        <v>1112</v>
      </c>
      <c r="E44" s="687" t="s">
        <v>1270</v>
      </c>
      <c r="F44" s="756">
        <v>0</v>
      </c>
      <c r="G44" s="748"/>
      <c r="H44" s="749"/>
      <c r="J44" s="595"/>
      <c r="L44" s="722"/>
      <c r="N44" s="295"/>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
      <c r="A45" s="108"/>
      <c r="B45" s="860" t="s">
        <v>1274</v>
      </c>
      <c r="C45" s="916"/>
      <c r="D45" s="917"/>
      <c r="E45" s="893"/>
      <c r="F45" s="867"/>
      <c r="G45" s="878"/>
      <c r="H45" s="749"/>
      <c r="J45" s="595"/>
      <c r="L45" s="722"/>
      <c r="N45" s="295"/>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
      <c r="A46" s="108">
        <v>558</v>
      </c>
      <c r="B46" s="655" t="s">
        <v>59</v>
      </c>
      <c r="C46" s="832" t="s">
        <v>1113</v>
      </c>
      <c r="D46" s="107" t="s">
        <v>1118</v>
      </c>
      <c r="E46" s="687" t="e">
        <f>HLOOKUP($D$2,'2020 Data(H)'!$C$1:$CZ$426,208,FALSE)</f>
        <v>#N/A</v>
      </c>
      <c r="F46" s="756">
        <v>0</v>
      </c>
      <c r="G46" s="748"/>
      <c r="H46" s="749"/>
      <c r="J46" s="595"/>
      <c r="L46" s="722"/>
      <c r="N46" s="295"/>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
      <c r="A47" s="108">
        <v>559</v>
      </c>
      <c r="B47" s="655" t="s">
        <v>59</v>
      </c>
      <c r="C47" s="832" t="s">
        <v>1113</v>
      </c>
      <c r="D47" s="107" t="s">
        <v>146</v>
      </c>
      <c r="E47" s="687" t="e">
        <f>HLOOKUP($D$2,'2020 Data(H)'!$C$1:$CZ$426,209,FALSE)</f>
        <v>#N/A</v>
      </c>
      <c r="F47" s="756">
        <v>0</v>
      </c>
      <c r="G47" s="748"/>
      <c r="H47" s="749"/>
      <c r="J47" s="595"/>
      <c r="L47" s="722"/>
      <c r="N47" s="295"/>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
      <c r="A48" s="108">
        <v>560</v>
      </c>
      <c r="B48" s="655" t="s">
        <v>59</v>
      </c>
      <c r="C48" s="832" t="s">
        <v>1113</v>
      </c>
      <c r="D48" s="726" t="s">
        <v>1115</v>
      </c>
      <c r="E48" s="687" t="e">
        <f>HLOOKUP($D$2,'2020 Data(H)'!$C$1:$CZ$426,210,FALSE)</f>
        <v>#N/A</v>
      </c>
      <c r="F48" s="756">
        <v>0</v>
      </c>
      <c r="G48" s="748"/>
      <c r="H48" s="749"/>
      <c r="J48" s="595"/>
      <c r="L48" s="722"/>
      <c r="N48" s="295"/>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
      <c r="A49" s="108">
        <v>561</v>
      </c>
      <c r="B49" s="655" t="s">
        <v>59</v>
      </c>
      <c r="C49" s="832" t="s">
        <v>1113</v>
      </c>
      <c r="D49" s="726" t="s">
        <v>1116</v>
      </c>
      <c r="E49" s="687" t="e">
        <f>HLOOKUP($D$2,'2020 Data(H)'!$C$1:$CZ$426,211,FALSE)</f>
        <v>#N/A</v>
      </c>
      <c r="F49" s="756">
        <v>0</v>
      </c>
      <c r="G49" s="748"/>
      <c r="H49" s="749"/>
      <c r="J49" s="595"/>
      <c r="L49" s="722"/>
      <c r="N49" s="295"/>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
      <c r="A50" s="108">
        <v>563</v>
      </c>
      <c r="B50" s="655" t="s">
        <v>59</v>
      </c>
      <c r="C50" s="832" t="s">
        <v>1113</v>
      </c>
      <c r="D50" s="726" t="s">
        <v>1114</v>
      </c>
      <c r="E50" s="687" t="e">
        <f>HLOOKUP($D$2,'2020 Data(H)'!$C$1:$CZ$426,213,FALSE)</f>
        <v>#N/A</v>
      </c>
      <c r="F50" s="756">
        <v>0</v>
      </c>
      <c r="G50" s="748"/>
      <c r="H50" s="749"/>
      <c r="J50" s="595"/>
      <c r="L50" s="722"/>
      <c r="N50" s="295"/>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
      <c r="A51" s="108">
        <v>564</v>
      </c>
      <c r="B51" s="655" t="s">
        <v>59</v>
      </c>
      <c r="C51" s="832" t="s">
        <v>1120</v>
      </c>
      <c r="D51" s="726" t="s">
        <v>1117</v>
      </c>
      <c r="E51" s="687" t="e">
        <f>HLOOKUP($D$2,'2020 Data(H)'!$C$1:$CZ$426,214,FALSE)</f>
        <v>#N/A</v>
      </c>
      <c r="F51" s="756">
        <v>0</v>
      </c>
      <c r="G51" s="748"/>
      <c r="H51" s="749"/>
      <c r="J51" s="595"/>
      <c r="L51" s="722"/>
      <c r="N51" s="295"/>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
      <c r="A52" s="108">
        <v>568</v>
      </c>
      <c r="B52" s="655" t="s">
        <v>59</v>
      </c>
      <c r="C52" s="832" t="s">
        <v>1120</v>
      </c>
      <c r="D52" s="726" t="s">
        <v>1119</v>
      </c>
      <c r="E52" s="687" t="e">
        <f>HLOOKUP($D$2,'2020 Data(H)'!$C$1:$CZ$426,218,FALSE)</f>
        <v>#N/A</v>
      </c>
      <c r="F52" s="756">
        <v>0</v>
      </c>
      <c r="G52" s="748"/>
      <c r="H52" s="749"/>
      <c r="J52" s="595"/>
      <c r="L52" s="722"/>
      <c r="N52" s="295"/>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
      <c r="A53" s="108">
        <v>565</v>
      </c>
      <c r="B53" s="655" t="s">
        <v>59</v>
      </c>
      <c r="C53" s="832" t="s">
        <v>1120</v>
      </c>
      <c r="D53" s="726" t="s">
        <v>327</v>
      </c>
      <c r="E53" s="687" t="e">
        <f>HLOOKUP($D$2,'2020 Data(H)'!$C$1:$CZ$426,215,FALSE)</f>
        <v>#N/A</v>
      </c>
      <c r="F53" s="756">
        <v>0</v>
      </c>
      <c r="G53" s="748"/>
      <c r="H53" s="749"/>
      <c r="J53" s="595"/>
      <c r="L53" s="722"/>
      <c r="N53" s="295"/>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
      <c r="A54" s="108">
        <v>566</v>
      </c>
      <c r="B54" s="655" t="s">
        <v>59</v>
      </c>
      <c r="C54" s="832" t="s">
        <v>1120</v>
      </c>
      <c r="D54" s="726" t="s">
        <v>329</v>
      </c>
      <c r="E54" s="687" t="e">
        <f>HLOOKUP($D$2,'2020 Data(H)'!$C$1:$CZ$426,216,FALSE)</f>
        <v>#N/A</v>
      </c>
      <c r="F54" s="756">
        <v>0</v>
      </c>
      <c r="G54" s="748"/>
      <c r="H54" s="749"/>
      <c r="J54" s="595"/>
      <c r="L54" s="722"/>
      <c r="N54" s="295"/>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
      <c r="A55" s="108">
        <v>567</v>
      </c>
      <c r="B55" s="655" t="s">
        <v>59</v>
      </c>
      <c r="C55" s="832" t="s">
        <v>1120</v>
      </c>
      <c r="D55" s="726" t="s">
        <v>1112</v>
      </c>
      <c r="E55" s="687" t="e">
        <f>HLOOKUP($D$2,'2020 Data(H)'!$C$1:$CZ$426,217,FALSE)</f>
        <v>#N/A</v>
      </c>
      <c r="F55" s="756">
        <v>0</v>
      </c>
      <c r="G55" s="748"/>
      <c r="H55" s="749"/>
      <c r="J55" s="595"/>
      <c r="L55" s="722"/>
      <c r="N55" s="295"/>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
      <c r="A56" s="108">
        <v>562</v>
      </c>
      <c r="B56" s="655" t="s">
        <v>59</v>
      </c>
      <c r="C56" s="832" t="s">
        <v>13</v>
      </c>
      <c r="D56" s="124" t="s">
        <v>1121</v>
      </c>
      <c r="E56" s="687" t="e">
        <f>HLOOKUP($D$2,'2020 Data(H)'!$C$1:$CZ$426,212,FALSE)</f>
        <v>#N/A</v>
      </c>
      <c r="F56" s="756">
        <v>0</v>
      </c>
      <c r="G56" s="748"/>
      <c r="H56" s="749"/>
      <c r="J56" s="595"/>
      <c r="L56" s="722"/>
      <c r="N56" s="295"/>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
      <c r="A57" s="108">
        <v>569</v>
      </c>
      <c r="B57" s="655" t="s">
        <v>59</v>
      </c>
      <c r="C57" s="832" t="s">
        <v>13</v>
      </c>
      <c r="D57" s="726" t="s">
        <v>1122</v>
      </c>
      <c r="E57" s="687" t="e">
        <f>HLOOKUP($D$2,'2020 Data(H)'!$C$1:$CZ$426,219,FALSE)</f>
        <v>#N/A</v>
      </c>
      <c r="F57" s="756">
        <v>0</v>
      </c>
      <c r="G57" s="748"/>
      <c r="H57" s="749"/>
      <c r="J57" s="595"/>
      <c r="L57" s="722"/>
      <c r="N57" s="295"/>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
      <c r="A58" s="108"/>
      <c r="B58" s="860" t="s">
        <v>145</v>
      </c>
      <c r="C58" s="861"/>
      <c r="D58" s="869"/>
      <c r="E58" s="866"/>
      <c r="F58" s="870"/>
      <c r="G58" s="871"/>
      <c r="H58" s="17"/>
      <c r="I58" s="79"/>
      <c r="L58" s="722"/>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
      <c r="A59" s="108">
        <v>506</v>
      </c>
      <c r="B59" s="833" t="s">
        <v>55</v>
      </c>
      <c r="C59" s="833" t="s">
        <v>149</v>
      </c>
      <c r="D59" s="107" t="s">
        <v>1169</v>
      </c>
      <c r="E59" s="946" t="e">
        <f>HLOOKUP($D$2,'2020 Data(H)'!$C$1:$CZ$426,156,FALSE)</f>
        <v>#N/A</v>
      </c>
      <c r="F59" s="294">
        <v>0</v>
      </c>
      <c r="G59" s="748">
        <f>IF(F59&lt;0,"Note: Number is normally positive.",)</f>
        <v>0</v>
      </c>
      <c r="H59" s="749"/>
      <c r="I59" s="79"/>
      <c r="J59" s="595"/>
      <c r="L59" s="722"/>
      <c r="N59" s="295"/>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
      <c r="A60" s="108">
        <v>536</v>
      </c>
      <c r="B60" s="833" t="s">
        <v>55</v>
      </c>
      <c r="C60" s="833" t="s">
        <v>149</v>
      </c>
      <c r="D60" s="107" t="s">
        <v>146</v>
      </c>
      <c r="E60" s="687" t="e">
        <f>HLOOKUP($D$2,'2020 Data(H)'!$C$1:$CZ$426,186,FALSE)</f>
        <v>#N/A</v>
      </c>
      <c r="F60" s="294">
        <v>0</v>
      </c>
      <c r="G60" s="748">
        <f>IF(F60&lt;0,"Note: Number is normally positive.",)</f>
        <v>0</v>
      </c>
      <c r="H60" s="749"/>
      <c r="I60" s="750"/>
      <c r="J60" s="595"/>
      <c r="L60" s="722"/>
      <c r="N60" s="295"/>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
      <c r="A61" s="108">
        <v>586</v>
      </c>
      <c r="B61" s="833" t="s">
        <v>59</v>
      </c>
      <c r="C61" s="833" t="s">
        <v>149</v>
      </c>
      <c r="D61" s="698" t="s">
        <v>355</v>
      </c>
      <c r="E61" s="687" t="e">
        <f>HLOOKUP($D$2,'2020 Data(H)'!$C$1:$CZ$426,236,FALSE)</f>
        <v>#N/A</v>
      </c>
      <c r="F61" s="294">
        <v>0</v>
      </c>
      <c r="G61" s="748">
        <f>IF(F61&lt;0,"Note: Number is normally positive.",)</f>
        <v>0</v>
      </c>
      <c r="H61" s="749"/>
      <c r="I61" s="750"/>
      <c r="L61" s="722"/>
      <c r="N61" s="295"/>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
      <c r="A62" s="108">
        <v>379</v>
      </c>
      <c r="B62" s="833" t="s">
        <v>60</v>
      </c>
      <c r="C62" s="833" t="s">
        <v>149</v>
      </c>
      <c r="D62" s="107" t="s">
        <v>130</v>
      </c>
      <c r="E62" s="687" t="e">
        <f>HLOOKUP($D$2,'2020 Data(H)'!$C$1:$CZ$426,138,FALSE)</f>
        <v>#N/A</v>
      </c>
      <c r="F62" s="294">
        <v>0</v>
      </c>
      <c r="G62" s="748">
        <f>IF((F59+F60)&gt;F62,"Error: Please review account numbers (506+536)&gt;379",)</f>
        <v>0</v>
      </c>
      <c r="H62" s="17"/>
      <c r="I62" s="79"/>
      <c r="J62" s="595"/>
      <c r="L62" s="722"/>
      <c r="Z62" s="108"/>
      <c r="AA62" s="108"/>
      <c r="AB62" s="108"/>
      <c r="AC62" s="108"/>
      <c r="AD62" s="108"/>
      <c r="AE62" s="108"/>
      <c r="AF62" s="108"/>
      <c r="AG62" s="108"/>
      <c r="AH62" s="108"/>
      <c r="AI62" s="108"/>
      <c r="AJ62" s="108"/>
      <c r="AK62" s="108"/>
      <c r="AL62" s="108"/>
      <c r="AM62" s="108"/>
      <c r="AN62" s="108"/>
      <c r="AO62" s="108"/>
      <c r="AP62" s="108"/>
      <c r="AQ62" s="108"/>
      <c r="AR62" s="108"/>
    </row>
    <row r="63" spans="1:44" ht="93" hidden="1" customHeight="1" thickBot="1" x14ac:dyDescent="0.3">
      <c r="A63" s="108">
        <v>368</v>
      </c>
      <c r="B63" s="833" t="s">
        <v>69</v>
      </c>
      <c r="C63" s="833" t="s">
        <v>149</v>
      </c>
      <c r="D63" s="726" t="s">
        <v>1170</v>
      </c>
      <c r="E63" s="687" t="e">
        <f>HLOOKUP($D$2,'2020 Data(H)'!$C$1:$CZ$426,129,FALSE)</f>
        <v>#N/A</v>
      </c>
      <c r="F63" s="294">
        <v>0</v>
      </c>
      <c r="G63" s="748">
        <f t="shared" ref="G63:G69" si="1">IF(F63&lt;0,"Error: Enter as positive.",)</f>
        <v>0</v>
      </c>
      <c r="H63" s="17"/>
      <c r="I63" s="749"/>
      <c r="J63" s="595"/>
      <c r="L63" s="722"/>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
      <c r="A64" s="108">
        <v>4</v>
      </c>
      <c r="B64" s="833" t="s">
        <v>55</v>
      </c>
      <c r="C64" s="833" t="s">
        <v>149</v>
      </c>
      <c r="D64" s="312" t="s">
        <v>1171</v>
      </c>
      <c r="E64" s="687" t="e">
        <f>HLOOKUP($D$2,'2020 Data(H)'!$C$1:$CZ$426,3,FALSE)</f>
        <v>#N/A</v>
      </c>
      <c r="F64" s="294">
        <v>0</v>
      </c>
      <c r="G64" s="748">
        <f t="shared" si="1"/>
        <v>0</v>
      </c>
      <c r="H64" s="17"/>
      <c r="I64" s="79"/>
      <c r="J64" s="595"/>
      <c r="L64" s="722"/>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
      <c r="A65" s="108">
        <v>5</v>
      </c>
      <c r="B65" s="833" t="s">
        <v>55</v>
      </c>
      <c r="C65" s="833" t="s">
        <v>149</v>
      </c>
      <c r="D65" s="342" t="s">
        <v>1172</v>
      </c>
      <c r="E65" s="687" t="e">
        <f>HLOOKUP($D$2,'2020 Data(H)'!$C$1:$CZ$426,4,FALSE)</f>
        <v>#N/A</v>
      </c>
      <c r="F65" s="294">
        <v>0</v>
      </c>
      <c r="G65" s="748">
        <f t="shared" si="1"/>
        <v>0</v>
      </c>
      <c r="H65" s="17"/>
      <c r="I65" s="79"/>
      <c r="J65" s="595"/>
      <c r="L65" s="722"/>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
      <c r="A66" s="108">
        <v>380</v>
      </c>
      <c r="B66" s="833" t="s">
        <v>60</v>
      </c>
      <c r="C66" s="833" t="s">
        <v>149</v>
      </c>
      <c r="D66" s="342" t="s">
        <v>1173</v>
      </c>
      <c r="E66" s="687" t="e">
        <f>HLOOKUP($D$2,'2020 Data(H)'!$C$1:$CZ$426,139,FALSE)</f>
        <v>#N/A</v>
      </c>
      <c r="F66" s="294">
        <v>0</v>
      </c>
      <c r="G66" s="748">
        <f t="shared" si="1"/>
        <v>0</v>
      </c>
      <c r="H66" s="17"/>
      <c r="I66" s="79"/>
      <c r="J66" s="595"/>
      <c r="L66" s="722"/>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
      <c r="A67" s="108">
        <v>391</v>
      </c>
      <c r="B67" s="833" t="s">
        <v>69</v>
      </c>
      <c r="C67" s="833" t="s">
        <v>149</v>
      </c>
      <c r="D67" s="107" t="s">
        <v>147</v>
      </c>
      <c r="E67" s="687" t="e">
        <f>HLOOKUP($D$2,'2020 Data(H)'!$C$1:$CZ$426,149,FALSE)</f>
        <v>#N/A</v>
      </c>
      <c r="F67" s="294">
        <v>0</v>
      </c>
      <c r="G67" s="748">
        <f t="shared" si="1"/>
        <v>0</v>
      </c>
      <c r="H67" s="17"/>
      <c r="I67" s="79"/>
      <c r="J67" s="595"/>
      <c r="L67" s="722"/>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
      <c r="A68" s="108">
        <v>7</v>
      </c>
      <c r="B68" s="833" t="s">
        <v>69</v>
      </c>
      <c r="C68" s="833" t="s">
        <v>149</v>
      </c>
      <c r="D68" s="107" t="s">
        <v>148</v>
      </c>
      <c r="E68" s="687" t="e">
        <f>HLOOKUP($D$2,'2020 Data(H)'!$C$1:$CZ$426,6,FALSE)</f>
        <v>#N/A</v>
      </c>
      <c r="F68" s="294">
        <v>0</v>
      </c>
      <c r="G68" s="748">
        <f t="shared" si="1"/>
        <v>0</v>
      </c>
      <c r="H68" s="17"/>
      <c r="I68" s="79"/>
      <c r="J68" s="595"/>
      <c r="L68" s="722"/>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
      <c r="A69" s="108">
        <v>11</v>
      </c>
      <c r="B69" s="833" t="s">
        <v>69</v>
      </c>
      <c r="C69" s="833" t="s">
        <v>149</v>
      </c>
      <c r="D69" s="726" t="s">
        <v>1174</v>
      </c>
      <c r="E69" s="687" t="e">
        <f>HLOOKUP($D$2,'2020 Data(H)'!$C$1:$CZ$426,8,FALSE)</f>
        <v>#N/A</v>
      </c>
      <c r="F69" s="294">
        <v>0</v>
      </c>
      <c r="G69" s="748">
        <f t="shared" si="1"/>
        <v>0</v>
      </c>
      <c r="H69" s="17"/>
      <c r="I69" s="79"/>
      <c r="J69" s="595"/>
      <c r="L69" s="722"/>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
      <c r="A70" s="313">
        <v>645</v>
      </c>
      <c r="B70" s="830" t="s">
        <v>454</v>
      </c>
      <c r="C70" s="830" t="s">
        <v>149</v>
      </c>
      <c r="D70" s="721" t="s">
        <v>487</v>
      </c>
      <c r="E70" s="687" t="e">
        <f>HLOOKUP($D$2,'2020 Data(H)'!$C$1:$CZ$426,304,FALSE)</f>
        <v>#N/A</v>
      </c>
      <c r="F70" s="294">
        <v>0</v>
      </c>
      <c r="G70" s="748">
        <f>IF(F70&lt;0,"Note: Number is normally positive.",)</f>
        <v>0</v>
      </c>
      <c r="H70" s="749"/>
      <c r="I70" s="750"/>
      <c r="J70" s="595"/>
      <c r="L70" s="722"/>
      <c r="Z70" s="313"/>
      <c r="AA70" s="313"/>
      <c r="AB70" s="313"/>
      <c r="AC70" s="313"/>
      <c r="AD70" s="313"/>
      <c r="AE70" s="313"/>
      <c r="AF70" s="313"/>
      <c r="AG70" s="313"/>
      <c r="AH70" s="313"/>
      <c r="AI70" s="313"/>
      <c r="AJ70" s="313"/>
      <c r="AK70" s="313"/>
      <c r="AL70" s="313"/>
      <c r="AM70" s="313"/>
      <c r="AN70" s="313"/>
      <c r="AO70" s="313"/>
      <c r="AP70" s="313"/>
      <c r="AQ70" s="313"/>
      <c r="AR70" s="313"/>
    </row>
    <row r="71" spans="1:44" ht="78.75" customHeight="1" thickBot="1" x14ac:dyDescent="0.3">
      <c r="A71" s="313">
        <v>646</v>
      </c>
      <c r="B71" s="830" t="s">
        <v>454</v>
      </c>
      <c r="C71" s="830" t="s">
        <v>149</v>
      </c>
      <c r="D71" s="312" t="s">
        <v>455</v>
      </c>
      <c r="E71" s="687" t="e">
        <f>HLOOKUP($D$2,'2020 Data(H)'!$C$1:$CZ$426,305,FALSE)</f>
        <v>#N/A</v>
      </c>
      <c r="F71" s="294">
        <v>0</v>
      </c>
      <c r="G71" s="748">
        <f>IF(F71&lt;0,"Note: Number is normally positive.",)</f>
        <v>0</v>
      </c>
      <c r="H71" s="749"/>
      <c r="I71" s="750"/>
      <c r="J71" s="595"/>
      <c r="L71" s="722"/>
      <c r="Z71" s="313"/>
      <c r="AA71" s="313"/>
      <c r="AB71" s="313"/>
      <c r="AC71" s="313"/>
      <c r="AD71" s="313"/>
      <c r="AE71" s="313"/>
      <c r="AF71" s="313"/>
      <c r="AG71" s="313"/>
      <c r="AH71" s="313"/>
      <c r="AI71" s="313"/>
      <c r="AJ71" s="313"/>
      <c r="AK71" s="313"/>
      <c r="AL71" s="313"/>
      <c r="AM71" s="313"/>
      <c r="AN71" s="313"/>
      <c r="AO71" s="313"/>
      <c r="AP71" s="313"/>
      <c r="AQ71" s="313"/>
      <c r="AR71" s="313"/>
    </row>
    <row r="72" spans="1:44" ht="57.75" customHeight="1" thickBot="1" x14ac:dyDescent="0.3">
      <c r="A72" s="108">
        <v>9</v>
      </c>
      <c r="B72" s="833" t="s">
        <v>60</v>
      </c>
      <c r="C72" s="833" t="s">
        <v>149</v>
      </c>
      <c r="D72" s="726" t="s">
        <v>1175</v>
      </c>
      <c r="E72" s="687" t="e">
        <f>HLOOKUP($D$2,'2020 Data(H)'!$C$1:$CZ$426,7,FALSE)</f>
        <v>#N/A</v>
      </c>
      <c r="F72" s="294">
        <v>0</v>
      </c>
      <c r="G72" s="748">
        <f>IF(F62-F64-F65-F66-F72=0,,"Error: Total assets less total liabilities do not equal total fund balance. Account numbers 379-4-5-380-9= 0  The amount of the formula is in the cell to the right")</f>
        <v>0</v>
      </c>
      <c r="H72" s="751">
        <f>F62-F64-F65-F66-F72</f>
        <v>0</v>
      </c>
      <c r="I72" s="79"/>
      <c r="J72" s="595"/>
      <c r="L72" s="722"/>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customHeight="1" thickBot="1" x14ac:dyDescent="0.3">
      <c r="A73" s="108">
        <v>540</v>
      </c>
      <c r="B73" s="655" t="s">
        <v>59</v>
      </c>
      <c r="C73" s="655" t="s">
        <v>1176</v>
      </c>
      <c r="D73" s="107" t="s">
        <v>488</v>
      </c>
      <c r="E73" s="687" t="e">
        <f>HLOOKUP($D$2,'2020 Data(H)'!$C$1:$CZ$426,190,FALSE)</f>
        <v>#N/A</v>
      </c>
      <c r="F73" s="294">
        <v>0</v>
      </c>
      <c r="G73" s="748"/>
      <c r="H73" s="749"/>
      <c r="I73" s="750"/>
      <c r="J73" s="595"/>
      <c r="L73" s="722"/>
      <c r="N73" s="295"/>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
      <c r="A74" s="108"/>
      <c r="B74" s="860" t="s">
        <v>151</v>
      </c>
      <c r="C74" s="861"/>
      <c r="D74" s="865"/>
      <c r="E74" s="866"/>
      <c r="F74" s="867"/>
      <c r="G74" s="868"/>
      <c r="H74" s="17"/>
      <c r="I74" s="79"/>
      <c r="L74" s="722"/>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
      <c r="A75" s="108">
        <v>984</v>
      </c>
      <c r="B75" s="732" t="s">
        <v>777</v>
      </c>
      <c r="C75" s="732" t="s">
        <v>1176</v>
      </c>
      <c r="D75" s="757" t="s">
        <v>1271</v>
      </c>
      <c r="E75" s="687" t="s">
        <v>778</v>
      </c>
      <c r="F75" s="294">
        <v>0</v>
      </c>
      <c r="G75" s="748"/>
      <c r="H75" s="17"/>
      <c r="I75" s="79"/>
      <c r="J75" s="595"/>
      <c r="L75" s="722"/>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
      <c r="A76" s="108">
        <v>985</v>
      </c>
      <c r="B76" s="732" t="s">
        <v>777</v>
      </c>
      <c r="C76" s="732" t="s">
        <v>1176</v>
      </c>
      <c r="D76" s="757" t="s">
        <v>1272</v>
      </c>
      <c r="E76" s="687" t="s">
        <v>778</v>
      </c>
      <c r="F76" s="294">
        <v>0</v>
      </c>
      <c r="G76" s="748"/>
      <c r="H76" s="17"/>
      <c r="I76" s="79"/>
      <c r="J76" s="595"/>
      <c r="L76" s="722"/>
      <c r="Z76" s="108"/>
      <c r="AA76" s="108"/>
      <c r="AB76" s="108"/>
      <c r="AC76" s="108"/>
      <c r="AD76" s="108"/>
      <c r="AE76" s="108"/>
      <c r="AF76" s="108"/>
      <c r="AG76" s="108"/>
      <c r="AH76" s="108"/>
      <c r="AI76" s="108"/>
      <c r="AJ76" s="108"/>
      <c r="AK76" s="108"/>
      <c r="AL76" s="108"/>
      <c r="AM76" s="108"/>
      <c r="AN76" s="108"/>
      <c r="AO76" s="108"/>
      <c r="AP76" s="108"/>
      <c r="AQ76" s="108"/>
      <c r="AR76" s="108"/>
    </row>
    <row r="77" spans="1:44" ht="52.5" hidden="1" customHeight="1" thickBot="1" x14ac:dyDescent="0.3">
      <c r="A77" s="108">
        <v>369</v>
      </c>
      <c r="B77" s="613" t="s">
        <v>56</v>
      </c>
      <c r="C77" s="613" t="s">
        <v>152</v>
      </c>
      <c r="D77" s="726" t="s">
        <v>1177</v>
      </c>
      <c r="E77" s="687" t="e">
        <f>HLOOKUP($D$2,'2020 Data(H)'!$C$1:$CZ$426,130,FALSE)</f>
        <v>#N/A</v>
      </c>
      <c r="F77" s="294">
        <v>0</v>
      </c>
      <c r="G77" s="748"/>
      <c r="H77" s="17"/>
      <c r="I77" s="79"/>
      <c r="J77" s="595"/>
      <c r="L77" s="722"/>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
      <c r="A78" s="108">
        <v>16</v>
      </c>
      <c r="B78" s="613" t="s">
        <v>66</v>
      </c>
      <c r="C78" s="613" t="s">
        <v>152</v>
      </c>
      <c r="D78" s="107" t="s">
        <v>150</v>
      </c>
      <c r="E78" s="687" t="e">
        <f>HLOOKUP($D$2,'2020 Data(H)'!$C$1:$CZ$426,12,FALSE)</f>
        <v>#N/A</v>
      </c>
      <c r="F78" s="294">
        <v>0</v>
      </c>
      <c r="G78" s="748"/>
      <c r="H78" s="17"/>
      <c r="I78" s="79"/>
      <c r="J78" s="595"/>
      <c r="L78" s="722"/>
      <c r="Z78" s="108"/>
      <c r="AA78" s="108"/>
      <c r="AB78" s="108"/>
      <c r="AC78" s="108"/>
      <c r="AD78" s="108"/>
      <c r="AE78" s="108"/>
      <c r="AF78" s="108"/>
      <c r="AG78" s="108"/>
      <c r="AH78" s="108"/>
      <c r="AI78" s="108"/>
      <c r="AJ78" s="108"/>
      <c r="AK78" s="108"/>
      <c r="AL78" s="108"/>
      <c r="AM78" s="108"/>
      <c r="AN78" s="108"/>
      <c r="AO78" s="108"/>
      <c r="AP78" s="108"/>
      <c r="AQ78" s="108"/>
      <c r="AR78" s="108"/>
    </row>
    <row r="79" spans="1:44" ht="65.25" hidden="1" customHeight="1" thickBot="1" x14ac:dyDescent="0.3">
      <c r="A79" s="108">
        <v>370</v>
      </c>
      <c r="B79" s="613" t="s">
        <v>56</v>
      </c>
      <c r="C79" s="613" t="s">
        <v>152</v>
      </c>
      <c r="D79" s="726" t="s">
        <v>1178</v>
      </c>
      <c r="E79" s="687" t="e">
        <f>HLOOKUP($D$2,'2020 Data(H)'!$C$1:$CZ$426,131,FALSE)</f>
        <v>#N/A</v>
      </c>
      <c r="F79" s="294">
        <v>0</v>
      </c>
      <c r="G79" s="748">
        <f>IF(F79&lt;0,"Error: Enter as positive.",)</f>
        <v>0</v>
      </c>
      <c r="H79" s="17"/>
      <c r="I79" s="79"/>
      <c r="J79" s="595"/>
      <c r="L79" s="722"/>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
      <c r="A80" s="108">
        <v>532</v>
      </c>
      <c r="B80" s="613" t="s">
        <v>55</v>
      </c>
      <c r="C80" s="613" t="s">
        <v>152</v>
      </c>
      <c r="D80" s="711" t="s">
        <v>1179</v>
      </c>
      <c r="E80" s="687" t="e">
        <f>HLOOKUP($D$2,'2020 Data(H)'!$C$1:$CZ$426,182,FALSE)</f>
        <v>#N/A</v>
      </c>
      <c r="F80" s="294">
        <v>0</v>
      </c>
      <c r="G80" s="748">
        <f>IF(F80&lt;0,"Error: Enter as positive.",)</f>
        <v>0</v>
      </c>
      <c r="H80" s="17"/>
      <c r="I80" s="79"/>
      <c r="J80" s="595"/>
      <c r="L80" s="722"/>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
      <c r="A81" s="108">
        <v>17</v>
      </c>
      <c r="B81" s="613" t="s">
        <v>60</v>
      </c>
      <c r="C81" s="613" t="s">
        <v>152</v>
      </c>
      <c r="D81" s="107" t="s">
        <v>1180</v>
      </c>
      <c r="E81" s="687" t="e">
        <f>HLOOKUP($D$2,'2020 Data(H)'!$C$1:$CZ$426,13,FALSE)</f>
        <v>#N/A</v>
      </c>
      <c r="F81" s="294">
        <v>0</v>
      </c>
      <c r="G81" s="748"/>
      <c r="H81" s="17"/>
      <c r="I81" s="79"/>
      <c r="L81" s="722"/>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
      <c r="A82" s="108">
        <v>20</v>
      </c>
      <c r="B82" s="613" t="s">
        <v>55</v>
      </c>
      <c r="C82" s="613" t="s">
        <v>152</v>
      </c>
      <c r="D82" s="107" t="s">
        <v>1181</v>
      </c>
      <c r="E82" s="687" t="e">
        <f>HLOOKUP($D$2,'2020 Data(H)'!$C$1:$CZ$426,15,FALSE)</f>
        <v>#N/A</v>
      </c>
      <c r="F82" s="294">
        <v>0</v>
      </c>
      <c r="G82" s="748">
        <f>IF(F82&lt;0,"Error: Enter as positive.",)</f>
        <v>0</v>
      </c>
      <c r="H82" s="17"/>
      <c r="I82" s="79"/>
      <c r="L82" s="722"/>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
      <c r="A83" s="108">
        <v>533</v>
      </c>
      <c r="B83" s="613" t="s">
        <v>55</v>
      </c>
      <c r="C83" s="613" t="s">
        <v>152</v>
      </c>
      <c r="D83" s="711" t="s">
        <v>1182</v>
      </c>
      <c r="E83" s="687" t="e">
        <f>HLOOKUP($D$2,'2020 Data(H)'!$C$1:$CZ$426,183,FALSE)</f>
        <v>#N/A</v>
      </c>
      <c r="F83" s="294">
        <v>0</v>
      </c>
      <c r="G83" s="758"/>
      <c r="H83" s="17"/>
      <c r="I83" s="79"/>
      <c r="L83" s="722"/>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
      <c r="A84" s="108">
        <v>508</v>
      </c>
      <c r="B84" s="613" t="s">
        <v>55</v>
      </c>
      <c r="C84" s="613" t="s">
        <v>152</v>
      </c>
      <c r="D84" s="107" t="s">
        <v>329</v>
      </c>
      <c r="E84" s="687" t="e">
        <f>HLOOKUP($D$2,'2020 Data(H)'!$C$1:$CZ$426,158,FALSE)</f>
        <v>#N/A</v>
      </c>
      <c r="F84" s="294">
        <v>0</v>
      </c>
      <c r="G84" s="748"/>
      <c r="H84" s="749"/>
      <c r="I84" s="750"/>
      <c r="L84" s="722"/>
      <c r="N84" s="295"/>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
      <c r="A85" s="108">
        <v>509</v>
      </c>
      <c r="B85" s="613" t="s">
        <v>55</v>
      </c>
      <c r="C85" s="613" t="s">
        <v>152</v>
      </c>
      <c r="D85" s="107" t="s">
        <v>327</v>
      </c>
      <c r="E85" s="687" t="e">
        <f>HLOOKUP($D$2,'2020 Data(H)'!$C$1:$CZ$426,159,FALSE)</f>
        <v>#N/A</v>
      </c>
      <c r="F85" s="294">
        <v>0</v>
      </c>
      <c r="G85" s="748">
        <f>IF(F85&lt;0,"Error: Enter as positive.",)</f>
        <v>0</v>
      </c>
      <c r="H85" s="749"/>
      <c r="I85" s="750"/>
      <c r="L85" s="722"/>
      <c r="N85" s="295"/>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
      <c r="A86" s="108">
        <v>22</v>
      </c>
      <c r="B86" s="613" t="s">
        <v>60</v>
      </c>
      <c r="C86" s="613" t="s">
        <v>152</v>
      </c>
      <c r="D86" s="107" t="s">
        <v>328</v>
      </c>
      <c r="E86" s="687" t="e">
        <f>HLOOKUP($D$2,'2020 Data(H)'!$C$1:$CZ$426,17,FALSE)</f>
        <v>#N/A</v>
      </c>
      <c r="F86" s="294">
        <v>0</v>
      </c>
      <c r="G86" s="758"/>
      <c r="H86" s="17"/>
      <c r="I86" s="79"/>
      <c r="J86" s="595"/>
      <c r="L86" s="722"/>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
      <c r="A87" s="108">
        <v>23</v>
      </c>
      <c r="B87" s="613" t="s">
        <v>60</v>
      </c>
      <c r="C87" s="613" t="s">
        <v>152</v>
      </c>
      <c r="D87" s="726" t="s">
        <v>1183</v>
      </c>
      <c r="E87" s="687" t="e">
        <f>HLOOKUP($D$2,'2020 Data(H)'!$C$1:$CZ$426,18,FALSE)</f>
        <v>#N/A</v>
      </c>
      <c r="F87" s="294">
        <v>0</v>
      </c>
      <c r="G87" s="748">
        <f>IF(H87=0,,"Error: Total revenues less total expenditures do not equal total change in fund balance.  Account numbers 16-532+17-20+533+22+508-509-23=0  The amount of the formula is located in the cell to the right")</f>
        <v>0</v>
      </c>
      <c r="H87" s="751">
        <f>+F78-F80+F81-F82+F83+F86+F84-F85-F87</f>
        <v>0</v>
      </c>
      <c r="I87" s="79"/>
      <c r="J87" s="595"/>
      <c r="L87" s="722"/>
      <c r="Z87" s="108"/>
      <c r="AA87" s="108"/>
      <c r="AB87" s="108"/>
      <c r="AC87" s="108"/>
      <c r="AD87" s="108"/>
      <c r="AE87" s="108"/>
      <c r="AF87" s="108"/>
      <c r="AG87" s="108"/>
      <c r="AH87" s="108"/>
      <c r="AI87" s="108"/>
      <c r="AJ87" s="108"/>
      <c r="AK87" s="108"/>
      <c r="AL87" s="108"/>
      <c r="AM87" s="108"/>
      <c r="AN87" s="108"/>
      <c r="AO87" s="108"/>
      <c r="AP87" s="108"/>
      <c r="AQ87" s="108"/>
      <c r="AR87" s="108"/>
    </row>
    <row r="88" spans="1:44" ht="194.25" hidden="1" customHeight="1" thickBot="1" x14ac:dyDescent="0.3">
      <c r="A88" s="108">
        <v>590</v>
      </c>
      <c r="B88" s="613" t="s">
        <v>369</v>
      </c>
      <c r="C88" s="613"/>
      <c r="D88" s="726" t="s">
        <v>1293</v>
      </c>
      <c r="E88" s="926"/>
      <c r="F88" s="294"/>
      <c r="G88" s="759"/>
      <c r="H88" s="751"/>
      <c r="I88" s="79"/>
      <c r="K88" s="760"/>
      <c r="L88" s="722"/>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
      <c r="A89" s="108">
        <v>507</v>
      </c>
      <c r="B89" s="613" t="s">
        <v>60</v>
      </c>
      <c r="C89" s="613" t="s">
        <v>152</v>
      </c>
      <c r="D89" s="726" t="s">
        <v>1184</v>
      </c>
      <c r="E89" s="687" t="e">
        <f>HLOOKUP($D$2,'2020 Data(H)'!$C$1:$CZ$426,157,FALSE)</f>
        <v>#N/A</v>
      </c>
      <c r="F89" s="294">
        <v>0</v>
      </c>
      <c r="G89" s="748" t="e">
        <f>IF(F72-F87-F89=E72,,"Error: Beginning Balance does not agree with our records.  (Acct# 9-23-507)= Prior Years Acct # 9 The amount of the formula is in the cell to the right")</f>
        <v>#N/A</v>
      </c>
      <c r="H89" s="751" t="e">
        <f>+F72-F87-F89-E72</f>
        <v>#N/A</v>
      </c>
      <c r="I89" s="1181" t="s">
        <v>1593</v>
      </c>
      <c r="L89" s="722"/>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
      <c r="A90" s="108">
        <v>147</v>
      </c>
      <c r="B90" s="834" t="s">
        <v>995</v>
      </c>
      <c r="C90" s="834" t="s">
        <v>996</v>
      </c>
      <c r="D90" s="726" t="s">
        <v>997</v>
      </c>
      <c r="E90" s="687" t="e">
        <f>HLOOKUP($D$2,'2020 Data(H)'!$C$1:$CZ$426,67,FALSE)</f>
        <v>#N/A</v>
      </c>
      <c r="F90" s="294">
        <v>0</v>
      </c>
      <c r="G90" s="748"/>
      <c r="H90" s="751"/>
      <c r="I90" s="79"/>
      <c r="L90" s="722"/>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
      <c r="A91" s="108">
        <v>585</v>
      </c>
      <c r="B91" s="834" t="s">
        <v>995</v>
      </c>
      <c r="C91" s="834" t="s">
        <v>996</v>
      </c>
      <c r="D91" s="726" t="s">
        <v>998</v>
      </c>
      <c r="E91" s="687" t="e">
        <f>HLOOKUP($D$2,'2020 Data(H)'!$C$1:$CZ$426,235,FALSE)</f>
        <v>#N/A</v>
      </c>
      <c r="F91" s="294">
        <v>0</v>
      </c>
      <c r="G91" s="748"/>
      <c r="H91" s="751"/>
      <c r="I91" s="79"/>
      <c r="L91" s="722"/>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
      <c r="A92" s="108">
        <v>546</v>
      </c>
      <c r="B92" s="834" t="s">
        <v>995</v>
      </c>
      <c r="C92" s="834" t="s">
        <v>996</v>
      </c>
      <c r="D92" s="726" t="s">
        <v>999</v>
      </c>
      <c r="E92" s="687" t="e">
        <f>HLOOKUP($D$2,'2020 Data(H)'!$C$1:$CZ$426,196,FALSE)</f>
        <v>#N/A</v>
      </c>
      <c r="F92" s="294">
        <v>0</v>
      </c>
      <c r="G92" s="748"/>
      <c r="H92" s="751"/>
      <c r="I92" s="79"/>
      <c r="L92" s="722"/>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
      <c r="A93" s="108">
        <v>589</v>
      </c>
      <c r="B93" s="834" t="s">
        <v>995</v>
      </c>
      <c r="C93" s="834" t="s">
        <v>996</v>
      </c>
      <c r="D93" s="726" t="s">
        <v>1000</v>
      </c>
      <c r="E93" s="687" t="e">
        <f>HLOOKUP($D$2,'2020 Data(H)'!$C$1:$CZ$426,239,FALSE)</f>
        <v>#N/A</v>
      </c>
      <c r="F93" s="294">
        <v>0</v>
      </c>
      <c r="G93" s="748"/>
      <c r="H93" s="751"/>
      <c r="I93" s="79"/>
      <c r="L93" s="722"/>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
      <c r="A94" s="579">
        <v>149</v>
      </c>
      <c r="B94" s="613" t="s">
        <v>995</v>
      </c>
      <c r="C94" s="613" t="s">
        <v>996</v>
      </c>
      <c r="D94" s="726" t="s">
        <v>1077</v>
      </c>
      <c r="E94" s="687" t="e">
        <f>HLOOKUP($D$2,'2020 Data(H)'!$C$1:$CZ$426,69,FALSE)</f>
        <v>#N/A</v>
      </c>
      <c r="F94" s="294">
        <v>0</v>
      </c>
      <c r="G94" s="748"/>
      <c r="H94" s="751"/>
      <c r="I94" s="79"/>
      <c r="L94" s="722"/>
      <c r="Z94" s="579"/>
      <c r="AA94" s="579"/>
      <c r="AB94" s="579"/>
      <c r="AC94" s="579"/>
      <c r="AD94" s="579"/>
      <c r="AE94" s="579"/>
      <c r="AF94" s="579"/>
      <c r="AG94" s="579"/>
      <c r="AH94" s="579"/>
      <c r="AI94" s="579"/>
      <c r="AJ94" s="579"/>
      <c r="AK94" s="579"/>
      <c r="AL94" s="579"/>
      <c r="AM94" s="579"/>
      <c r="AN94" s="579"/>
      <c r="AO94" s="579"/>
      <c r="AP94" s="579"/>
      <c r="AQ94" s="579"/>
      <c r="AR94" s="579"/>
    </row>
    <row r="95" spans="1:44" ht="115.5" hidden="1" customHeight="1" thickBot="1" x14ac:dyDescent="0.3">
      <c r="A95" s="108">
        <v>150</v>
      </c>
      <c r="B95" s="613" t="s">
        <v>995</v>
      </c>
      <c r="C95" s="613" t="s">
        <v>996</v>
      </c>
      <c r="D95" s="726" t="s">
        <v>1078</v>
      </c>
      <c r="E95" s="687" t="e">
        <f>HLOOKUP($D$2,'2020 Data(H)'!$C$1:$CZ$426,70,FALSE)</f>
        <v>#N/A</v>
      </c>
      <c r="F95" s="294">
        <v>0</v>
      </c>
      <c r="G95" s="748"/>
      <c r="H95" s="751"/>
      <c r="I95" s="79"/>
      <c r="L95" s="722"/>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
      <c r="A96" s="108">
        <v>587</v>
      </c>
      <c r="B96" s="655" t="s">
        <v>1079</v>
      </c>
      <c r="C96" s="655" t="s">
        <v>1080</v>
      </c>
      <c r="D96" s="726" t="s">
        <v>1185</v>
      </c>
      <c r="E96" s="687" t="e">
        <f>HLOOKUP($D$2,'2020 Data(H)'!$C$1:$CZ$426,237,FALSE)</f>
        <v>#N/A</v>
      </c>
      <c r="F96" s="294">
        <v>0</v>
      </c>
      <c r="G96" s="748"/>
      <c r="H96" s="751"/>
      <c r="I96" s="79"/>
      <c r="L96" s="722"/>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
      <c r="A97" s="108">
        <v>588</v>
      </c>
      <c r="B97" s="655" t="s">
        <v>1079</v>
      </c>
      <c r="C97" s="655" t="s">
        <v>1080</v>
      </c>
      <c r="D97" s="726" t="s">
        <v>1186</v>
      </c>
      <c r="E97" s="687" t="e">
        <f>HLOOKUP($D$2,'2020 Data(H)'!$C$1:$CZ$426,238,FALSE)</f>
        <v>#N/A</v>
      </c>
      <c r="F97" s="294">
        <v>0</v>
      </c>
      <c r="G97" s="748"/>
      <c r="H97" s="751"/>
      <c r="I97" s="79"/>
      <c r="L97" s="722"/>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
      <c r="A98" s="313">
        <v>647</v>
      </c>
      <c r="B98" s="830" t="s">
        <v>454</v>
      </c>
      <c r="C98" s="829" t="s">
        <v>456</v>
      </c>
      <c r="D98" s="312" t="s">
        <v>457</v>
      </c>
      <c r="E98" s="687" t="e">
        <f>HLOOKUP($D$2,'2020 Data(H)'!$C$1:$CZ$426,306,FALSE)</f>
        <v>#N/A</v>
      </c>
      <c r="F98" s="294">
        <v>0</v>
      </c>
      <c r="G98" s="748">
        <f>IF(F98&lt;0,"Error: Enter as positive.",)</f>
        <v>0</v>
      </c>
      <c r="H98" s="761"/>
      <c r="I98" s="79"/>
      <c r="L98" s="722"/>
      <c r="Z98" s="313"/>
      <c r="AA98" s="313"/>
      <c r="AB98" s="313"/>
      <c r="AC98" s="313"/>
      <c r="AD98" s="313"/>
      <c r="AE98" s="313"/>
      <c r="AF98" s="313"/>
      <c r="AG98" s="313"/>
      <c r="AH98" s="313"/>
      <c r="AI98" s="313"/>
      <c r="AJ98" s="313"/>
      <c r="AK98" s="313"/>
      <c r="AL98" s="313"/>
      <c r="AM98" s="313"/>
      <c r="AN98" s="313"/>
      <c r="AO98" s="313"/>
      <c r="AP98" s="313"/>
      <c r="AQ98" s="313"/>
      <c r="AR98" s="313"/>
    </row>
    <row r="99" spans="1:44" ht="25.5" hidden="1" customHeight="1" thickBot="1" x14ac:dyDescent="0.3">
      <c r="A99" s="108"/>
      <c r="B99" s="860" t="s">
        <v>11</v>
      </c>
      <c r="C99" s="861"/>
      <c r="D99" s="862"/>
      <c r="E99" s="858"/>
      <c r="F99" s="863"/>
      <c r="G99" s="864"/>
      <c r="H99" s="17"/>
      <c r="I99" s="79"/>
      <c r="L99" s="722"/>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
      <c r="A100" s="108">
        <v>148</v>
      </c>
      <c r="B100" s="613" t="s">
        <v>1003</v>
      </c>
      <c r="C100" s="655" t="s">
        <v>1001</v>
      </c>
      <c r="D100" s="655" t="s">
        <v>1002</v>
      </c>
      <c r="E100" s="687" t="e">
        <f>HLOOKUP($D$2,'2020 Data(H)'!$C$1:$CZ$426,68,FALSE)</f>
        <v>#N/A</v>
      </c>
      <c r="F100" s="294">
        <v>0</v>
      </c>
      <c r="G100" s="762"/>
      <c r="H100" s="17"/>
      <c r="I100" s="79"/>
      <c r="L100" s="722"/>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hidden="1" customHeight="1" thickBot="1" x14ac:dyDescent="0.3">
      <c r="A101" s="108">
        <v>171</v>
      </c>
      <c r="B101" s="613" t="s">
        <v>332</v>
      </c>
      <c r="C101" s="613" t="s">
        <v>331</v>
      </c>
      <c r="D101" s="688" t="s">
        <v>1187</v>
      </c>
      <c r="E101" s="687" t="e">
        <f>HLOOKUP($D$2,'2020 Data(H)'!$C$1:$CZ$426,71,FALSE)</f>
        <v>#N/A</v>
      </c>
      <c r="F101" s="272">
        <v>0</v>
      </c>
      <c r="G101" s="748">
        <f>IF(F101&lt;0,"Error: Enter as positive.",)</f>
        <v>0</v>
      </c>
      <c r="H101" s="17"/>
      <c r="I101" s="79"/>
      <c r="J101" s="595"/>
      <c r="L101" s="722"/>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customHeight="1" thickBot="1" x14ac:dyDescent="0.3">
      <c r="A102" s="108"/>
      <c r="B102" s="859" t="s">
        <v>1069</v>
      </c>
      <c r="C102" s="858"/>
      <c r="D102" s="858"/>
      <c r="E102" s="858"/>
      <c r="F102" s="858"/>
      <c r="G102" s="858"/>
      <c r="H102" s="17"/>
      <c r="I102" s="79"/>
      <c r="J102" s="595"/>
      <c r="L102" s="722"/>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
      <c r="A103" s="108">
        <v>36</v>
      </c>
      <c r="B103" s="835" t="s">
        <v>454</v>
      </c>
      <c r="C103" s="342" t="s">
        <v>1083</v>
      </c>
      <c r="D103" s="686" t="s">
        <v>1106</v>
      </c>
      <c r="E103" s="687" t="e">
        <f>HLOOKUP($D$2,'2020 Data(H)'!$C$1:$CZ$426,24,FALSE)</f>
        <v>#N/A</v>
      </c>
      <c r="F103" s="294">
        <v>0</v>
      </c>
      <c r="G103" s="836"/>
      <c r="H103" s="17"/>
      <c r="I103" s="79"/>
      <c r="J103" s="595"/>
      <c r="L103" s="722"/>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
      <c r="A104" s="108">
        <v>534</v>
      </c>
      <c r="B104" s="835" t="s">
        <v>454</v>
      </c>
      <c r="C104" s="342" t="s">
        <v>1083</v>
      </c>
      <c r="D104" s="726" t="s">
        <v>1107</v>
      </c>
      <c r="E104" s="687" t="e">
        <f>HLOOKUP($D$2,'2020 Data(H)'!$C$1:$CZ$426,184,FALSE)</f>
        <v>#N/A</v>
      </c>
      <c r="F104" s="294">
        <v>0</v>
      </c>
      <c r="G104" s="836"/>
      <c r="H104" s="17"/>
      <c r="I104" s="79"/>
      <c r="J104" s="595"/>
      <c r="L104" s="722"/>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customHeight="1" thickBot="1" x14ac:dyDescent="0.3">
      <c r="A105" s="620">
        <v>13</v>
      </c>
      <c r="B105" s="835" t="s">
        <v>369</v>
      </c>
      <c r="C105" s="838" t="s">
        <v>1070</v>
      </c>
      <c r="D105" s="838" t="s">
        <v>1273</v>
      </c>
      <c r="E105" s="687" t="e">
        <f>HLOOKUP($D$2,'2020 Data(H)'!$C$1:$CZ$426,10,FALSE)</f>
        <v>#N/A</v>
      </c>
      <c r="F105" s="294">
        <v>0</v>
      </c>
      <c r="G105" s="748"/>
      <c r="H105" s="17"/>
      <c r="I105" s="79"/>
      <c r="J105" s="595"/>
      <c r="L105" s="722"/>
      <c r="Z105" s="837"/>
      <c r="AA105" s="837"/>
      <c r="AB105" s="837"/>
      <c r="AC105" s="837"/>
      <c r="AD105" s="837"/>
      <c r="AE105" s="837"/>
      <c r="AF105" s="837"/>
      <c r="AG105" s="837"/>
      <c r="AH105" s="837"/>
      <c r="AI105" s="837"/>
      <c r="AJ105" s="837"/>
      <c r="AK105" s="837"/>
      <c r="AL105" s="837"/>
      <c r="AM105" s="837"/>
      <c r="AN105" s="837"/>
      <c r="AO105" s="837"/>
      <c r="AP105" s="837"/>
      <c r="AQ105" s="837"/>
      <c r="AR105" s="837"/>
    </row>
    <row r="106" spans="1:44" ht="191.25" customHeight="1" thickBot="1" x14ac:dyDescent="0.3">
      <c r="A106" s="620">
        <v>14</v>
      </c>
      <c r="B106" s="835" t="s">
        <v>369</v>
      </c>
      <c r="C106" s="838" t="s">
        <v>1070</v>
      </c>
      <c r="D106" s="838" t="s">
        <v>1072</v>
      </c>
      <c r="E106" s="687" t="e">
        <f>HLOOKUP($D$2,'2020 Data(H)'!$C$1:$CZ$426,11,FALSE)</f>
        <v>#N/A</v>
      </c>
      <c r="F106" s="294">
        <v>0</v>
      </c>
      <c r="G106" s="748"/>
      <c r="H106" s="17"/>
      <c r="I106" s="79"/>
      <c r="J106" s="595"/>
      <c r="L106" s="722"/>
      <c r="Z106" s="837"/>
      <c r="AA106" s="837"/>
      <c r="AB106" s="837"/>
      <c r="AC106" s="837"/>
      <c r="AD106" s="837"/>
      <c r="AE106" s="837"/>
      <c r="AF106" s="837"/>
      <c r="AG106" s="837"/>
      <c r="AH106" s="837"/>
      <c r="AI106" s="837"/>
      <c r="AJ106" s="837"/>
      <c r="AK106" s="837"/>
      <c r="AL106" s="837"/>
      <c r="AM106" s="837"/>
      <c r="AN106" s="837"/>
      <c r="AO106" s="837"/>
      <c r="AP106" s="837"/>
      <c r="AQ106" s="837"/>
      <c r="AR106" s="837"/>
    </row>
    <row r="107" spans="1:44" ht="129.75" hidden="1" customHeight="1" thickBot="1" x14ac:dyDescent="0.3">
      <c r="A107" s="620">
        <v>571</v>
      </c>
      <c r="B107" s="835" t="s">
        <v>369</v>
      </c>
      <c r="C107" s="839" t="s">
        <v>1108</v>
      </c>
      <c r="D107" s="839" t="s">
        <v>1109</v>
      </c>
      <c r="E107" s="687" t="e">
        <f>HLOOKUP($D$2,'2020 Data(H)'!$C$1:$CZ$426,221,FALSE)</f>
        <v>#N/A</v>
      </c>
      <c r="F107" s="294">
        <v>0</v>
      </c>
      <c r="G107" s="748"/>
      <c r="H107" s="17"/>
      <c r="I107" s="79"/>
      <c r="J107" s="595"/>
      <c r="L107" s="722"/>
      <c r="Z107" s="837"/>
      <c r="AA107" s="837"/>
      <c r="AB107" s="837"/>
      <c r="AC107" s="837"/>
      <c r="AD107" s="837"/>
      <c r="AE107" s="837"/>
      <c r="AF107" s="837"/>
      <c r="AG107" s="837"/>
      <c r="AH107" s="837"/>
      <c r="AI107" s="837"/>
      <c r="AJ107" s="837"/>
      <c r="AK107" s="837"/>
      <c r="AL107" s="837"/>
      <c r="AM107" s="837"/>
      <c r="AN107" s="837"/>
      <c r="AO107" s="837"/>
      <c r="AP107" s="837"/>
      <c r="AQ107" s="837"/>
      <c r="AR107" s="837"/>
    </row>
    <row r="108" spans="1:44" ht="128.25" hidden="1" customHeight="1" thickBot="1" x14ac:dyDescent="0.3">
      <c r="A108" s="620">
        <v>572</v>
      </c>
      <c r="B108" s="835" t="s">
        <v>59</v>
      </c>
      <c r="C108" s="839" t="s">
        <v>1108</v>
      </c>
      <c r="D108" s="839" t="s">
        <v>1110</v>
      </c>
      <c r="E108" s="687" t="e">
        <f>HLOOKUP($D$2,'2020 Data(H)'!$C$1:$CZ$426,222,FALSE)</f>
        <v>#N/A</v>
      </c>
      <c r="F108" s="294">
        <v>0</v>
      </c>
      <c r="G108" s="748"/>
      <c r="H108" s="17"/>
      <c r="I108" s="79"/>
      <c r="J108" s="595"/>
      <c r="L108" s="722"/>
      <c r="Z108" s="837"/>
      <c r="AA108" s="837"/>
      <c r="AB108" s="837"/>
      <c r="AC108" s="837"/>
      <c r="AD108" s="837"/>
      <c r="AE108" s="837"/>
      <c r="AF108" s="837"/>
      <c r="AG108" s="837"/>
      <c r="AH108" s="837"/>
      <c r="AI108" s="837"/>
      <c r="AJ108" s="837"/>
      <c r="AK108" s="837"/>
      <c r="AL108" s="837"/>
      <c r="AM108" s="837"/>
      <c r="AN108" s="837"/>
      <c r="AO108" s="837"/>
      <c r="AP108" s="837"/>
      <c r="AQ108" s="837"/>
      <c r="AR108" s="837"/>
    </row>
    <row r="109" spans="1:44" ht="120.75" hidden="1" customHeight="1" thickBot="1" x14ac:dyDescent="0.3">
      <c r="A109" s="620">
        <v>573</v>
      </c>
      <c r="B109" s="835" t="s">
        <v>369</v>
      </c>
      <c r="C109" s="839" t="s">
        <v>1108</v>
      </c>
      <c r="D109" s="839" t="s">
        <v>1268</v>
      </c>
      <c r="E109" s="687" t="e">
        <f>HLOOKUP($D$2,'2020 Data(H)'!$C$1:$CZ$426,223,FALSE)</f>
        <v>#N/A</v>
      </c>
      <c r="F109" s="294">
        <v>0</v>
      </c>
      <c r="G109" s="748"/>
      <c r="H109" s="17"/>
      <c r="I109" s="79"/>
      <c r="J109" s="595"/>
      <c r="L109" s="722"/>
      <c r="Z109" s="837"/>
      <c r="AA109" s="837"/>
      <c r="AB109" s="837"/>
      <c r="AC109" s="837"/>
      <c r="AD109" s="837"/>
      <c r="AE109" s="837"/>
      <c r="AF109" s="837"/>
      <c r="AG109" s="837"/>
      <c r="AH109" s="837"/>
      <c r="AI109" s="837"/>
      <c r="AJ109" s="837"/>
      <c r="AK109" s="837"/>
      <c r="AL109" s="837"/>
      <c r="AM109" s="837"/>
      <c r="AN109" s="837"/>
      <c r="AO109" s="837"/>
      <c r="AP109" s="837"/>
      <c r="AQ109" s="837"/>
      <c r="AR109" s="837"/>
    </row>
    <row r="110" spans="1:44" ht="99.75" hidden="1" customHeight="1" thickBot="1" x14ac:dyDescent="0.3">
      <c r="A110" s="620">
        <v>34</v>
      </c>
      <c r="B110" s="835" t="s">
        <v>369</v>
      </c>
      <c r="C110" s="4" t="s">
        <v>1083</v>
      </c>
      <c r="D110" s="677" t="s">
        <v>1263</v>
      </c>
      <c r="E110" s="687" t="e">
        <f>HLOOKUP($D$2,'2020 Data(H)'!$C$1:$CZ$426,22,FALSE)</f>
        <v>#N/A</v>
      </c>
      <c r="F110" s="294">
        <v>0</v>
      </c>
      <c r="G110" s="748"/>
      <c r="H110" s="17"/>
      <c r="I110" s="79"/>
      <c r="J110" s="595"/>
      <c r="L110" s="722"/>
      <c r="Z110" s="837"/>
      <c r="AA110" s="837"/>
      <c r="AB110" s="837"/>
      <c r="AC110" s="837"/>
      <c r="AD110" s="837"/>
      <c r="AE110" s="837"/>
      <c r="AF110" s="837"/>
      <c r="AG110" s="837"/>
      <c r="AH110" s="837"/>
      <c r="AI110" s="837"/>
      <c r="AJ110" s="837"/>
      <c r="AK110" s="837"/>
      <c r="AL110" s="837"/>
      <c r="AM110" s="837"/>
      <c r="AN110" s="837"/>
      <c r="AO110" s="837"/>
      <c r="AP110" s="837"/>
      <c r="AQ110" s="837"/>
      <c r="AR110" s="837"/>
    </row>
    <row r="111" spans="1:44" ht="117" hidden="1" customHeight="1" thickBot="1" x14ac:dyDescent="0.3">
      <c r="A111" s="620">
        <v>35</v>
      </c>
      <c r="B111" s="835" t="s">
        <v>369</v>
      </c>
      <c r="C111" s="4" t="s">
        <v>1083</v>
      </c>
      <c r="D111" s="677" t="s">
        <v>1275</v>
      </c>
      <c r="E111" s="687" t="e">
        <f>HLOOKUP($D$2,'2020 Data(H)'!$C$1:$CZ$426,23,FALSE)</f>
        <v>#N/A</v>
      </c>
      <c r="F111" s="294">
        <v>0</v>
      </c>
      <c r="G111" s="748"/>
      <c r="H111" s="17"/>
      <c r="I111" s="79"/>
      <c r="J111" s="595"/>
      <c r="L111" s="722"/>
      <c r="Z111" s="837"/>
      <c r="AA111" s="837"/>
      <c r="AB111" s="837"/>
      <c r="AC111" s="837"/>
      <c r="AD111" s="837"/>
      <c r="AE111" s="837"/>
      <c r="AF111" s="837"/>
      <c r="AG111" s="837"/>
      <c r="AH111" s="837"/>
      <c r="AI111" s="837"/>
      <c r="AJ111" s="837"/>
      <c r="AK111" s="837"/>
      <c r="AL111" s="837"/>
      <c r="AM111" s="837"/>
      <c r="AN111" s="837"/>
      <c r="AO111" s="837"/>
      <c r="AP111" s="837"/>
      <c r="AQ111" s="837"/>
      <c r="AR111" s="837"/>
    </row>
    <row r="112" spans="1:44" ht="108.75" hidden="1" customHeight="1" thickBot="1" x14ac:dyDescent="0.3">
      <c r="A112" s="620">
        <v>37</v>
      </c>
      <c r="B112" s="835" t="s">
        <v>369</v>
      </c>
      <c r="C112" s="4" t="s">
        <v>1083</v>
      </c>
      <c r="D112" s="677" t="s">
        <v>1188</v>
      </c>
      <c r="E112" s="687" t="e">
        <f>HLOOKUP($D$2,'2020 Data(H)'!$C$1:$CZ$426,25,FALSE)</f>
        <v>#N/A</v>
      </c>
      <c r="F112" s="294">
        <v>0</v>
      </c>
      <c r="G112" s="748"/>
      <c r="H112" s="17"/>
      <c r="I112" s="79"/>
      <c r="J112" s="595"/>
      <c r="L112" s="722"/>
      <c r="Z112" s="837"/>
      <c r="AA112" s="837"/>
      <c r="AB112" s="837"/>
      <c r="AC112" s="837"/>
      <c r="AD112" s="837"/>
      <c r="AE112" s="837"/>
      <c r="AF112" s="837"/>
      <c r="AG112" s="837"/>
      <c r="AH112" s="837"/>
      <c r="AI112" s="837"/>
      <c r="AJ112" s="837"/>
      <c r="AK112" s="837"/>
      <c r="AL112" s="837"/>
      <c r="AM112" s="837"/>
      <c r="AN112" s="837"/>
      <c r="AO112" s="837"/>
      <c r="AP112" s="837"/>
      <c r="AQ112" s="837"/>
      <c r="AR112" s="837"/>
    </row>
    <row r="113" spans="1:44" ht="102.75" hidden="1" customHeight="1" thickBot="1" x14ac:dyDescent="0.3">
      <c r="A113" s="620">
        <v>38</v>
      </c>
      <c r="B113" s="835" t="s">
        <v>369</v>
      </c>
      <c r="C113" s="4" t="s">
        <v>1083</v>
      </c>
      <c r="D113" s="677" t="s">
        <v>1086</v>
      </c>
      <c r="E113" s="687" t="e">
        <f>HLOOKUP($D$2,'2020 Data(H)'!$C$1:$CZ$426,26,FALSE)</f>
        <v>#N/A</v>
      </c>
      <c r="F113" s="294">
        <v>0</v>
      </c>
      <c r="G113" s="748"/>
      <c r="H113" s="17"/>
      <c r="I113" s="79"/>
      <c r="J113" s="595"/>
      <c r="L113" s="722"/>
      <c r="Z113" s="837"/>
      <c r="AA113" s="837"/>
      <c r="AB113" s="837"/>
      <c r="AC113" s="837"/>
      <c r="AD113" s="837"/>
      <c r="AE113" s="837"/>
      <c r="AF113" s="837"/>
      <c r="AG113" s="837"/>
      <c r="AH113" s="837"/>
      <c r="AI113" s="837"/>
      <c r="AJ113" s="837"/>
      <c r="AK113" s="837"/>
      <c r="AL113" s="837"/>
      <c r="AM113" s="837"/>
      <c r="AN113" s="837"/>
      <c r="AO113" s="837"/>
      <c r="AP113" s="837"/>
      <c r="AQ113" s="837"/>
      <c r="AR113" s="837"/>
    </row>
    <row r="114" spans="1:44" ht="117.75" customHeight="1" thickBot="1" x14ac:dyDescent="0.3">
      <c r="A114" s="620">
        <v>32</v>
      </c>
      <c r="B114" s="835" t="s">
        <v>454</v>
      </c>
      <c r="C114" s="838" t="s">
        <v>1073</v>
      </c>
      <c r="D114" s="838" t="s">
        <v>1074</v>
      </c>
      <c r="E114" s="687" t="e">
        <f>HLOOKUP($D$2,'2020 Data(H)'!$C$1:$CZ$426,20,FALSE)</f>
        <v>#N/A</v>
      </c>
      <c r="F114" s="294">
        <v>0</v>
      </c>
      <c r="G114" s="748"/>
      <c r="H114" s="17"/>
      <c r="I114" s="79"/>
      <c r="J114" s="595"/>
      <c r="L114" s="722"/>
      <c r="Z114" s="837"/>
      <c r="AA114" s="837"/>
      <c r="AB114" s="837"/>
      <c r="AC114" s="837"/>
      <c r="AD114" s="837"/>
      <c r="AE114" s="837"/>
      <c r="AF114" s="837"/>
      <c r="AG114" s="837"/>
      <c r="AH114" s="837"/>
      <c r="AI114" s="837"/>
      <c r="AJ114" s="837"/>
      <c r="AK114" s="837"/>
      <c r="AL114" s="837"/>
      <c r="AM114" s="837"/>
      <c r="AN114" s="837"/>
      <c r="AO114" s="837"/>
      <c r="AP114" s="837"/>
      <c r="AQ114" s="837"/>
      <c r="AR114" s="837"/>
    </row>
    <row r="115" spans="1:44" ht="116.25" hidden="1" customHeight="1" thickBot="1" x14ac:dyDescent="0.3">
      <c r="A115" s="620">
        <v>40</v>
      </c>
      <c r="B115" s="835" t="s">
        <v>369</v>
      </c>
      <c r="C115" s="838" t="s">
        <v>1087</v>
      </c>
      <c r="D115" s="677" t="s">
        <v>1088</v>
      </c>
      <c r="E115" s="687" t="e">
        <f>HLOOKUP($D$2,'2020 Data(H)'!$C$1:$CZ$426,28,FALSE)</f>
        <v>#N/A</v>
      </c>
      <c r="F115" s="294">
        <v>0</v>
      </c>
      <c r="G115" s="748"/>
      <c r="H115" s="17"/>
      <c r="I115" s="79"/>
      <c r="J115" s="595"/>
      <c r="L115" s="722"/>
      <c r="Z115" s="837"/>
      <c r="AA115" s="837"/>
      <c r="AB115" s="837"/>
      <c r="AC115" s="837"/>
      <c r="AD115" s="837"/>
      <c r="AE115" s="837"/>
      <c r="AF115" s="837"/>
      <c r="AG115" s="837"/>
      <c r="AH115" s="837"/>
      <c r="AI115" s="837"/>
      <c r="AJ115" s="837"/>
      <c r="AK115" s="837"/>
      <c r="AL115" s="837"/>
      <c r="AM115" s="837"/>
      <c r="AN115" s="837"/>
      <c r="AO115" s="837"/>
      <c r="AP115" s="837"/>
      <c r="AQ115" s="837"/>
      <c r="AR115" s="837"/>
    </row>
    <row r="116" spans="1:44" ht="104.25" hidden="1" customHeight="1" thickBot="1" x14ac:dyDescent="0.3">
      <c r="A116" s="620">
        <v>107</v>
      </c>
      <c r="B116" s="835" t="s">
        <v>369</v>
      </c>
      <c r="C116" s="838" t="s">
        <v>1087</v>
      </c>
      <c r="D116" s="677" t="s">
        <v>1089</v>
      </c>
      <c r="E116" s="687" t="e">
        <f>HLOOKUP($D$2,'2020 Data(H)'!$C$1:$CZ$426,65,FALSE)</f>
        <v>#N/A</v>
      </c>
      <c r="F116" s="294">
        <v>0</v>
      </c>
      <c r="G116" s="748"/>
      <c r="H116" s="17"/>
      <c r="I116" s="79"/>
      <c r="J116" s="595"/>
      <c r="L116" s="722"/>
      <c r="Z116" s="837"/>
      <c r="AA116" s="837"/>
      <c r="AB116" s="837"/>
      <c r="AC116" s="837"/>
      <c r="AD116" s="837"/>
      <c r="AE116" s="837"/>
      <c r="AF116" s="837"/>
      <c r="AG116" s="837"/>
      <c r="AH116" s="837"/>
      <c r="AI116" s="837"/>
      <c r="AJ116" s="837"/>
      <c r="AK116" s="837"/>
      <c r="AL116" s="837"/>
      <c r="AM116" s="837"/>
      <c r="AN116" s="837"/>
      <c r="AO116" s="837"/>
      <c r="AP116" s="837"/>
      <c r="AQ116" s="837"/>
      <c r="AR116" s="837"/>
    </row>
    <row r="117" spans="1:44" ht="107.25" hidden="1" customHeight="1" thickBot="1" x14ac:dyDescent="0.3">
      <c r="A117" s="620">
        <v>108</v>
      </c>
      <c r="B117" s="835" t="s">
        <v>369</v>
      </c>
      <c r="C117" s="838" t="s">
        <v>1087</v>
      </c>
      <c r="D117" s="677" t="s">
        <v>1189</v>
      </c>
      <c r="E117" s="687" t="e">
        <f>HLOOKUP($D$2,'2020 Data(H)'!$C$1:$CZ$426,66,FALSE)</f>
        <v>#N/A</v>
      </c>
      <c r="F117" s="294">
        <v>0</v>
      </c>
      <c r="G117" s="748"/>
      <c r="H117" s="17"/>
      <c r="I117" s="79"/>
      <c r="J117" s="595"/>
      <c r="L117" s="722"/>
      <c r="Z117" s="837"/>
      <c r="AA117" s="837"/>
      <c r="AB117" s="837"/>
      <c r="AC117" s="837"/>
      <c r="AD117" s="837"/>
      <c r="AE117" s="837"/>
      <c r="AF117" s="837"/>
      <c r="AG117" s="837"/>
      <c r="AH117" s="837"/>
      <c r="AI117" s="837"/>
      <c r="AJ117" s="837"/>
      <c r="AK117" s="837"/>
      <c r="AL117" s="837"/>
      <c r="AM117" s="837"/>
      <c r="AN117" s="837"/>
      <c r="AO117" s="837"/>
      <c r="AP117" s="837"/>
      <c r="AQ117" s="837"/>
      <c r="AR117" s="837"/>
    </row>
    <row r="118" spans="1:44" ht="93" hidden="1" customHeight="1" thickBot="1" x14ac:dyDescent="0.3">
      <c r="A118" s="620">
        <v>41</v>
      </c>
      <c r="B118" s="835" t="s">
        <v>369</v>
      </c>
      <c r="C118" s="838" t="s">
        <v>1087</v>
      </c>
      <c r="D118" s="677" t="s">
        <v>1190</v>
      </c>
      <c r="E118" s="687" t="e">
        <f>HLOOKUP($D$2,'2020 Data(H)'!$C$1:$CZ$426,29,FALSE)</f>
        <v>#N/A</v>
      </c>
      <c r="F118" s="294">
        <v>0</v>
      </c>
      <c r="G118" s="748"/>
      <c r="H118" s="17"/>
      <c r="I118" s="79"/>
      <c r="J118" s="595"/>
      <c r="L118" s="722"/>
      <c r="Z118" s="837"/>
      <c r="AA118" s="837"/>
      <c r="AB118" s="837"/>
      <c r="AC118" s="837"/>
      <c r="AD118" s="837"/>
      <c r="AE118" s="837"/>
      <c r="AF118" s="837"/>
      <c r="AG118" s="837"/>
      <c r="AH118" s="837"/>
      <c r="AI118" s="837"/>
      <c r="AJ118" s="837"/>
      <c r="AK118" s="837"/>
      <c r="AL118" s="837"/>
      <c r="AM118" s="837"/>
      <c r="AN118" s="837"/>
      <c r="AO118" s="837"/>
      <c r="AP118" s="837"/>
      <c r="AQ118" s="837"/>
      <c r="AR118" s="837"/>
    </row>
    <row r="119" spans="1:44" ht="120.75" hidden="1" customHeight="1" thickBot="1" x14ac:dyDescent="0.3">
      <c r="A119" s="620">
        <v>194</v>
      </c>
      <c r="B119" s="835" t="s">
        <v>369</v>
      </c>
      <c r="C119" s="838" t="s">
        <v>1087</v>
      </c>
      <c r="D119" s="677" t="s">
        <v>1090</v>
      </c>
      <c r="E119" s="687" t="e">
        <f>HLOOKUP($D$2,'2020 Data(H)'!$C$1:$CZ$426,75,FALSE)</f>
        <v>#N/A</v>
      </c>
      <c r="F119" s="294">
        <v>0</v>
      </c>
      <c r="G119" s="748"/>
      <c r="H119" s="17"/>
      <c r="I119" s="79"/>
      <c r="J119" s="595"/>
      <c r="L119" s="722"/>
      <c r="Z119" s="837"/>
      <c r="AA119" s="837"/>
      <c r="AB119" s="837"/>
      <c r="AC119" s="837"/>
      <c r="AD119" s="837"/>
      <c r="AE119" s="837"/>
      <c r="AF119" s="837"/>
      <c r="AG119" s="837"/>
      <c r="AH119" s="837"/>
      <c r="AI119" s="837"/>
      <c r="AJ119" s="837"/>
      <c r="AK119" s="837"/>
      <c r="AL119" s="837"/>
      <c r="AM119" s="837"/>
      <c r="AN119" s="837"/>
      <c r="AO119" s="837"/>
      <c r="AP119" s="837"/>
      <c r="AQ119" s="837"/>
      <c r="AR119" s="837"/>
    </row>
    <row r="120" spans="1:44" ht="123.75" hidden="1" customHeight="1" thickBot="1" x14ac:dyDescent="0.3">
      <c r="A120" s="620">
        <v>294</v>
      </c>
      <c r="B120" s="835" t="s">
        <v>369</v>
      </c>
      <c r="C120" s="838" t="s">
        <v>1087</v>
      </c>
      <c r="D120" s="677" t="s">
        <v>1091</v>
      </c>
      <c r="E120" s="687" t="e">
        <f>HLOOKUP($D$2,'2020 Data(H)'!$C$1:$CZ$426,83,FALSE)</f>
        <v>#N/A</v>
      </c>
      <c r="F120" s="294">
        <v>0</v>
      </c>
      <c r="G120" s="748"/>
      <c r="H120" s="17"/>
      <c r="I120" s="79"/>
      <c r="J120" s="595"/>
      <c r="L120" s="722"/>
      <c r="Z120" s="837"/>
      <c r="AA120" s="837"/>
      <c r="AB120" s="837"/>
      <c r="AC120" s="837"/>
      <c r="AD120" s="837"/>
      <c r="AE120" s="837"/>
      <c r="AF120" s="837"/>
      <c r="AG120" s="837"/>
      <c r="AH120" s="837"/>
      <c r="AI120" s="837"/>
      <c r="AJ120" s="837"/>
      <c r="AK120" s="837"/>
      <c r="AL120" s="837"/>
      <c r="AM120" s="837"/>
      <c r="AN120" s="837"/>
      <c r="AO120" s="837"/>
      <c r="AP120" s="837"/>
      <c r="AQ120" s="837"/>
      <c r="AR120" s="837"/>
    </row>
    <row r="121" spans="1:44" hidden="1" x14ac:dyDescent="0.25">
      <c r="A121" s="818"/>
      <c r="E121" s="687"/>
      <c r="Z121" s="18"/>
    </row>
    <row r="122" spans="1:44" hidden="1" x14ac:dyDescent="0.25">
      <c r="A122" s="818"/>
      <c r="E122" s="687"/>
      <c r="Z122" s="18"/>
    </row>
    <row r="123" spans="1:44" ht="129.75" customHeight="1" thickBot="1" x14ac:dyDescent="0.3">
      <c r="A123" s="620">
        <v>31</v>
      </c>
      <c r="B123" s="835" t="s">
        <v>454</v>
      </c>
      <c r="C123" s="838" t="s">
        <v>1073</v>
      </c>
      <c r="D123" s="838" t="s">
        <v>1075</v>
      </c>
      <c r="E123" s="687" t="e">
        <f>HLOOKUP($D$2,'2020 Data(H)'!$C$1:$CZ$426,19,FALSE)</f>
        <v>#N/A</v>
      </c>
      <c r="F123" s="294">
        <v>0</v>
      </c>
      <c r="G123" s="748"/>
      <c r="H123" s="17"/>
      <c r="I123" s="79"/>
      <c r="J123" s="595"/>
      <c r="L123" s="722"/>
      <c r="Z123" s="837"/>
      <c r="AA123" s="837"/>
      <c r="AB123" s="837"/>
      <c r="AC123" s="837"/>
      <c r="AD123" s="837"/>
      <c r="AE123" s="837"/>
      <c r="AF123" s="837"/>
      <c r="AG123" s="837"/>
      <c r="AH123" s="837"/>
      <c r="AI123" s="837"/>
      <c r="AJ123" s="837"/>
      <c r="AK123" s="837"/>
      <c r="AL123" s="837"/>
      <c r="AM123" s="837"/>
      <c r="AN123" s="837"/>
      <c r="AO123" s="837"/>
      <c r="AP123" s="837"/>
      <c r="AQ123" s="837"/>
      <c r="AR123" s="837"/>
    </row>
    <row r="124" spans="1:44" ht="94.5" customHeight="1" thickBot="1" x14ac:dyDescent="0.3">
      <c r="A124" s="1055">
        <v>193</v>
      </c>
      <c r="B124" s="835" t="s">
        <v>454</v>
      </c>
      <c r="C124" s="838" t="s">
        <v>1076</v>
      </c>
      <c r="D124" s="838" t="s">
        <v>311</v>
      </c>
      <c r="E124" s="687" t="e">
        <f>HLOOKUP($D$2,'2020 Data(H)'!$C$1:$CZ$426,74,FALSE)</f>
        <v>#N/A</v>
      </c>
      <c r="F124" s="294">
        <v>0</v>
      </c>
      <c r="G124" s="748"/>
      <c r="H124" s="17"/>
      <c r="I124" s="79"/>
      <c r="J124" s="595"/>
      <c r="L124" s="722"/>
      <c r="Z124" s="837"/>
      <c r="AA124" s="837"/>
      <c r="AB124" s="837"/>
      <c r="AC124" s="837"/>
      <c r="AD124" s="837"/>
      <c r="AE124" s="837"/>
      <c r="AF124" s="837"/>
      <c r="AG124" s="837"/>
      <c r="AH124" s="837"/>
      <c r="AI124" s="837"/>
      <c r="AJ124" s="837"/>
      <c r="AK124" s="837"/>
      <c r="AL124" s="837"/>
      <c r="AM124" s="837"/>
      <c r="AN124" s="837"/>
      <c r="AO124" s="837"/>
      <c r="AP124" s="837"/>
      <c r="AQ124" s="837"/>
      <c r="AR124" s="837"/>
    </row>
    <row r="125" spans="1:44" ht="78" customHeight="1" thickBot="1" x14ac:dyDescent="0.3">
      <c r="A125" s="1055">
        <v>33</v>
      </c>
      <c r="B125" s="835" t="s">
        <v>454</v>
      </c>
      <c r="C125" s="838" t="s">
        <v>1076</v>
      </c>
      <c r="D125" s="838" t="s">
        <v>299</v>
      </c>
      <c r="E125" s="687" t="e">
        <f>HLOOKUP($D$2,'2020 Data(H)'!$C$1:$CZ$426,21,FALSE)</f>
        <v>#N/A</v>
      </c>
      <c r="F125" s="294">
        <v>0</v>
      </c>
      <c r="G125" s="748"/>
      <c r="H125" s="17"/>
      <c r="I125" s="79"/>
      <c r="J125" s="595"/>
      <c r="L125" s="722"/>
      <c r="Z125" s="837"/>
      <c r="AA125" s="837"/>
      <c r="AB125" s="837"/>
      <c r="AC125" s="837"/>
      <c r="AD125" s="837"/>
      <c r="AE125" s="837"/>
      <c r="AF125" s="837"/>
      <c r="AG125" s="837"/>
      <c r="AH125" s="837"/>
      <c r="AI125" s="837"/>
      <c r="AJ125" s="837"/>
      <c r="AK125" s="837"/>
      <c r="AL125" s="837"/>
      <c r="AM125" s="837"/>
      <c r="AN125" s="837"/>
      <c r="AO125" s="837"/>
      <c r="AP125" s="837"/>
      <c r="AQ125" s="837"/>
      <c r="AR125" s="837"/>
    </row>
    <row r="126" spans="1:44" ht="55.5" hidden="1" customHeight="1" thickBot="1" x14ac:dyDescent="0.3">
      <c r="A126" s="620">
        <v>104</v>
      </c>
      <c r="B126" s="835" t="s">
        <v>454</v>
      </c>
      <c r="C126" s="4" t="s">
        <v>1092</v>
      </c>
      <c r="D126" s="677" t="s">
        <v>1093</v>
      </c>
      <c r="E126" s="687" t="e">
        <f>HLOOKUP($D$2,'2020 Data(H)'!$C$1:$CZ$426,64,FALSE)</f>
        <v>#N/A</v>
      </c>
      <c r="F126" s="294">
        <v>0</v>
      </c>
      <c r="G126" s="748"/>
      <c r="H126" s="17"/>
      <c r="I126" s="79"/>
      <c r="J126" s="595"/>
      <c r="L126" s="722"/>
      <c r="Z126" s="837"/>
      <c r="AA126" s="837"/>
      <c r="AB126" s="837"/>
      <c r="AC126" s="837"/>
      <c r="AD126" s="837"/>
      <c r="AE126" s="837"/>
      <c r="AF126" s="837"/>
      <c r="AG126" s="837"/>
      <c r="AH126" s="837"/>
      <c r="AI126" s="837"/>
      <c r="AJ126" s="837"/>
      <c r="AK126" s="837"/>
      <c r="AL126" s="837"/>
      <c r="AM126" s="837"/>
      <c r="AN126" s="837"/>
      <c r="AO126" s="837"/>
      <c r="AP126" s="837"/>
      <c r="AQ126" s="837"/>
      <c r="AR126" s="837"/>
    </row>
    <row r="127" spans="1:44" ht="70.5" hidden="1" customHeight="1" thickBot="1" x14ac:dyDescent="0.3">
      <c r="A127" s="620">
        <v>39</v>
      </c>
      <c r="B127" s="835" t="s">
        <v>454</v>
      </c>
      <c r="C127" s="4" t="s">
        <v>1092</v>
      </c>
      <c r="D127" s="24" t="s">
        <v>1094</v>
      </c>
      <c r="E127" s="687" t="e">
        <f>HLOOKUP($D$2,'2020 Data(H)'!$C$1:$CZ$426,27,FALSE)</f>
        <v>#N/A</v>
      </c>
      <c r="F127" s="294">
        <v>0</v>
      </c>
      <c r="G127" s="748"/>
      <c r="H127" s="17"/>
      <c r="I127" s="79"/>
      <c r="J127" s="595"/>
      <c r="L127" s="722"/>
      <c r="Z127" s="837"/>
      <c r="AA127" s="837"/>
      <c r="AB127" s="837"/>
      <c r="AC127" s="837"/>
      <c r="AD127" s="837"/>
      <c r="AE127" s="837"/>
      <c r="AF127" s="837"/>
      <c r="AG127" s="837"/>
      <c r="AH127" s="837"/>
      <c r="AI127" s="837"/>
      <c r="AJ127" s="837"/>
      <c r="AK127" s="837"/>
      <c r="AL127" s="837"/>
      <c r="AM127" s="837"/>
      <c r="AN127" s="837"/>
      <c r="AO127" s="837"/>
      <c r="AP127" s="837"/>
      <c r="AQ127" s="837"/>
      <c r="AR127" s="837"/>
    </row>
    <row r="128" spans="1:44" ht="15.75" hidden="1" thickBot="1" x14ac:dyDescent="0.3">
      <c r="A128" s="108"/>
      <c r="B128" s="875" t="s">
        <v>1191</v>
      </c>
      <c r="C128" s="875"/>
      <c r="D128" s="859"/>
      <c r="E128" s="859"/>
      <c r="F128" s="879"/>
      <c r="G128" s="880"/>
      <c r="H128" s="17"/>
      <c r="I128" s="79"/>
      <c r="L128" s="722"/>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75" hidden="1" thickBot="1" x14ac:dyDescent="0.3">
      <c r="A129" s="108"/>
      <c r="B129" s="875" t="s">
        <v>24</v>
      </c>
      <c r="C129" s="875"/>
      <c r="D129" s="875"/>
      <c r="E129" s="857"/>
      <c r="F129" s="881"/>
      <c r="G129" s="882"/>
      <c r="H129" s="17"/>
      <c r="I129" s="79"/>
      <c r="L129" s="722"/>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75" hidden="1" thickBot="1" x14ac:dyDescent="0.3">
      <c r="A130" s="108"/>
      <c r="B130" s="875" t="s">
        <v>22</v>
      </c>
      <c r="C130" s="875"/>
      <c r="D130" s="875"/>
      <c r="E130" s="857"/>
      <c r="F130" s="881"/>
      <c r="G130" s="882"/>
      <c r="H130" s="763"/>
      <c r="I130" s="79"/>
      <c r="L130" s="722"/>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hidden="1" customHeight="1" thickBot="1" x14ac:dyDescent="0.3">
      <c r="A131" s="108">
        <v>596</v>
      </c>
      <c r="B131" s="689" t="s">
        <v>57</v>
      </c>
      <c r="C131" s="840"/>
      <c r="D131" s="686" t="s">
        <v>378</v>
      </c>
      <c r="E131" s="687" t="e">
        <f>HLOOKUP($D$2,'2020 Data(H)'!$C$1:$CZ$426,255,FALSE)</f>
        <v>#N/A</v>
      </c>
      <c r="F131" s="294"/>
      <c r="G131" s="764"/>
      <c r="H131" s="763"/>
      <c r="I131" s="79"/>
      <c r="L131" s="722"/>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hidden="1" customHeight="1" thickBot="1" x14ac:dyDescent="0.3">
      <c r="A132" s="108">
        <v>80</v>
      </c>
      <c r="B132" s="4" t="s">
        <v>62</v>
      </c>
      <c r="C132" s="4" t="s">
        <v>1192</v>
      </c>
      <c r="D132" s="24" t="s">
        <v>1193</v>
      </c>
      <c r="E132" s="687" t="e">
        <f>HLOOKUP($D$2,'2020 Data(H)'!$C$1:$CZ$426,44,FALSE)</f>
        <v>#N/A</v>
      </c>
      <c r="F132" s="272">
        <v>0</v>
      </c>
      <c r="G132" s="687" t="e">
        <f>HLOOKUP($D$2,'2020 Data(H)'!C1:BS295,249,FALSE)</f>
        <v>#N/A</v>
      </c>
      <c r="H132" s="765"/>
      <c r="I132" s="79"/>
      <c r="L132" s="722"/>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hidden="1" customHeight="1" thickBot="1" x14ac:dyDescent="0.3">
      <c r="A133" s="108">
        <v>81</v>
      </c>
      <c r="B133" s="4" t="s">
        <v>62</v>
      </c>
      <c r="C133" s="4" t="s">
        <v>1192</v>
      </c>
      <c r="D133" s="24" t="s">
        <v>1194</v>
      </c>
      <c r="E133" s="687" t="e">
        <f>HLOOKUP($D$2,'2020 Data(H)'!$C$1:$CZ$426,45,FALSE)</f>
        <v>#N/A</v>
      </c>
      <c r="F133" s="294">
        <v>0</v>
      </c>
      <c r="G133" s="758"/>
      <c r="H133" s="17"/>
      <c r="I133" s="79"/>
      <c r="L133" s="722"/>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hidden="1" customHeight="1" thickBot="1" x14ac:dyDescent="0.3">
      <c r="A134" s="108">
        <v>579</v>
      </c>
      <c r="B134" s="841" t="s">
        <v>353</v>
      </c>
      <c r="C134" s="689" t="s">
        <v>1192</v>
      </c>
      <c r="D134" s="842" t="s">
        <v>1195</v>
      </c>
      <c r="E134" s="687" t="e">
        <f>HLOOKUP($D$2,'2020 Data(H)'!$C$1:$CZ$426,229,FALSE)</f>
        <v>#N/A</v>
      </c>
      <c r="F134" s="294">
        <v>0</v>
      </c>
      <c r="G134" s="748"/>
      <c r="H134" s="17"/>
      <c r="I134" s="749"/>
      <c r="L134" s="722"/>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hidden="1" customHeight="1" x14ac:dyDescent="0.25">
      <c r="A135" s="108">
        <v>510</v>
      </c>
      <c r="B135" s="4" t="s">
        <v>37</v>
      </c>
      <c r="C135" s="4" t="s">
        <v>1192</v>
      </c>
      <c r="D135" s="29" t="s">
        <v>325</v>
      </c>
      <c r="E135" s="687" t="e">
        <f>HLOOKUP($D$2,'2020 Data(H)'!$C$1:$CZ$426,160,FALSE)</f>
        <v>#N/A</v>
      </c>
      <c r="F135" s="294">
        <v>0</v>
      </c>
      <c r="G135" s="758"/>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hidden="1" customHeight="1" x14ac:dyDescent="0.25">
      <c r="A136" s="313">
        <v>654</v>
      </c>
      <c r="B136" s="843" t="s">
        <v>37</v>
      </c>
      <c r="C136" s="843" t="s">
        <v>1192</v>
      </c>
      <c r="D136" s="345" t="s">
        <v>1196</v>
      </c>
      <c r="E136" s="687" t="e">
        <f>HLOOKUP($D$2,'2020 Data(H)'!$C$1:$CZ$426,307,FALSE)</f>
        <v>#N/A</v>
      </c>
      <c r="F136" s="294">
        <v>0</v>
      </c>
      <c r="G136" s="748">
        <f>IF((F132+F133+F135)&gt;F136,"Error: Please review components of current assets above.  Account numbers (80+81+510)&gt;654",)</f>
        <v>0</v>
      </c>
      <c r="H136" s="17"/>
      <c r="I136" s="79"/>
      <c r="Z136" s="313"/>
      <c r="AA136" s="313"/>
      <c r="AB136" s="313"/>
      <c r="AC136" s="313"/>
      <c r="AD136" s="313"/>
      <c r="AE136" s="313"/>
      <c r="AF136" s="313"/>
      <c r="AG136" s="313"/>
      <c r="AH136" s="313"/>
      <c r="AI136" s="313"/>
      <c r="AJ136" s="313"/>
      <c r="AK136" s="313"/>
      <c r="AL136" s="313"/>
      <c r="AM136" s="313"/>
      <c r="AN136" s="313"/>
      <c r="AO136" s="313"/>
      <c r="AP136" s="313"/>
      <c r="AQ136" s="313"/>
      <c r="AR136" s="313"/>
    </row>
    <row r="137" spans="1:44" ht="75.75" hidden="1" customHeight="1" x14ac:dyDescent="0.25">
      <c r="A137" s="313">
        <v>655</v>
      </c>
      <c r="B137" s="843" t="s">
        <v>37</v>
      </c>
      <c r="C137" s="843" t="s">
        <v>1192</v>
      </c>
      <c r="D137" s="315" t="s">
        <v>583</v>
      </c>
      <c r="E137" s="687" t="e">
        <f>HLOOKUP($D$2,'2020 Data(H)'!$C$1:$CZ$426,308,FALSE)</f>
        <v>#N/A</v>
      </c>
      <c r="F137" s="294">
        <v>0</v>
      </c>
      <c r="G137" s="748"/>
      <c r="H137" s="17"/>
      <c r="I137" s="79"/>
      <c r="Z137" s="313"/>
      <c r="AA137" s="313"/>
      <c r="AB137" s="313"/>
      <c r="AC137" s="313"/>
      <c r="AD137" s="313"/>
      <c r="AE137" s="313"/>
      <c r="AF137" s="313"/>
      <c r="AG137" s="313"/>
      <c r="AH137" s="313"/>
      <c r="AI137" s="313"/>
      <c r="AJ137" s="313"/>
      <c r="AK137" s="313"/>
      <c r="AL137" s="313"/>
      <c r="AM137" s="313"/>
      <c r="AN137" s="313"/>
      <c r="AO137" s="313"/>
      <c r="AP137" s="313"/>
      <c r="AQ137" s="313"/>
      <c r="AR137" s="313"/>
    </row>
    <row r="138" spans="1:44" ht="48" hidden="1" customHeight="1" x14ac:dyDescent="0.25">
      <c r="A138" s="108">
        <v>381</v>
      </c>
      <c r="B138" s="4" t="s">
        <v>37</v>
      </c>
      <c r="C138" s="4" t="s">
        <v>1192</v>
      </c>
      <c r="D138" s="106" t="s">
        <v>130</v>
      </c>
      <c r="E138" s="687" t="e">
        <f>HLOOKUP($D$2,'2020 Data(H)'!$C$1:$CZ$426,140,FALSE)</f>
        <v>#N/A</v>
      </c>
      <c r="F138" s="294">
        <v>0</v>
      </c>
      <c r="G138" s="748">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hidden="1" customHeight="1" x14ac:dyDescent="0.25">
      <c r="A139" s="108">
        <v>578</v>
      </c>
      <c r="B139" s="689" t="s">
        <v>59</v>
      </c>
      <c r="C139" s="689" t="s">
        <v>1192</v>
      </c>
      <c r="D139" s="842" t="s">
        <v>1197</v>
      </c>
      <c r="E139" s="687" t="e">
        <f>HLOOKUP($D$2,'2020 Data(H)'!$C$1:$CZ$426,228,FALSE)</f>
        <v>#N/A</v>
      </c>
      <c r="F139" s="294">
        <v>0</v>
      </c>
      <c r="G139" s="748"/>
      <c r="H139" s="749"/>
      <c r="I139" s="750"/>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hidden="1" customHeight="1" x14ac:dyDescent="0.25">
      <c r="A140" s="314">
        <v>633</v>
      </c>
      <c r="B140" s="843" t="s">
        <v>582</v>
      </c>
      <c r="C140" s="843" t="s">
        <v>458</v>
      </c>
      <c r="D140" s="345" t="s">
        <v>1276</v>
      </c>
      <c r="E140" s="687" t="e">
        <f>HLOOKUP($D$2,'2020 Data(H)'!$C$1:$CZ$426,292,FALSE)</f>
        <v>#N/A</v>
      </c>
      <c r="F140" s="294">
        <v>0</v>
      </c>
      <c r="G140" s="766" t="str">
        <f>IF(F140&gt;=(F141+F142+F143+F144+F145+F146),"","Account 633 is less than the total sum of accounts 634 through 638 + 383")</f>
        <v/>
      </c>
      <c r="H140" s="772">
        <f>F140-(F141+F142+F143+F144+F145+F146)</f>
        <v>0</v>
      </c>
      <c r="I140" s="753" t="str">
        <f>IF(F140&gt;=(F141+F142+F143+F144+F145+F146),"","Account 633 is less than the total sum of accounts 634 through 638 + 383")</f>
        <v/>
      </c>
      <c r="Z140" s="314"/>
      <c r="AA140" s="314"/>
      <c r="AB140" s="314"/>
      <c r="AC140" s="314"/>
      <c r="AD140" s="314"/>
      <c r="AE140" s="314"/>
      <c r="AF140" s="314"/>
      <c r="AG140" s="314"/>
      <c r="AH140" s="314"/>
      <c r="AI140" s="314"/>
      <c r="AJ140" s="314"/>
      <c r="AK140" s="314"/>
      <c r="AL140" s="314"/>
      <c r="AM140" s="314"/>
      <c r="AN140" s="314"/>
      <c r="AO140" s="314"/>
      <c r="AP140" s="314"/>
      <c r="AQ140" s="314"/>
      <c r="AR140" s="314"/>
    </row>
    <row r="141" spans="1:44" ht="109.5" hidden="1" customHeight="1" x14ac:dyDescent="0.25">
      <c r="A141" s="313">
        <v>634</v>
      </c>
      <c r="B141" s="844" t="s">
        <v>454</v>
      </c>
      <c r="C141" s="843" t="s">
        <v>458</v>
      </c>
      <c r="D141" s="345" t="s">
        <v>1278</v>
      </c>
      <c r="E141" s="687" t="e">
        <f>HLOOKUP($D$2,'2020 Data(H)'!$C$1:$CZ$426,293,FALSE)</f>
        <v>#N/A</v>
      </c>
      <c r="F141" s="294">
        <v>0</v>
      </c>
      <c r="G141" s="767">
        <f>IF(F141&gt;F140,"Please review account numbers 634&gt;633",)</f>
        <v>0</v>
      </c>
      <c r="H141" s="753"/>
      <c r="I141" s="753"/>
      <c r="Z141" s="313"/>
      <c r="AA141" s="313"/>
      <c r="AB141" s="313"/>
      <c r="AC141" s="313"/>
      <c r="AD141" s="313"/>
      <c r="AE141" s="313"/>
      <c r="AF141" s="313"/>
      <c r="AG141" s="313"/>
      <c r="AH141" s="313"/>
      <c r="AI141" s="313"/>
      <c r="AJ141" s="313"/>
      <c r="AK141" s="313"/>
      <c r="AL141" s="313"/>
      <c r="AM141" s="313"/>
      <c r="AN141" s="313"/>
      <c r="AO141" s="313"/>
      <c r="AP141" s="313"/>
      <c r="AQ141" s="313"/>
      <c r="AR141" s="313"/>
    </row>
    <row r="142" spans="1:44" ht="130.5" hidden="1" customHeight="1" x14ac:dyDescent="0.25">
      <c r="A142" s="313">
        <v>635</v>
      </c>
      <c r="B142" s="844" t="s">
        <v>454</v>
      </c>
      <c r="C142" s="843" t="s">
        <v>458</v>
      </c>
      <c r="D142" s="345" t="s">
        <v>1277</v>
      </c>
      <c r="E142" s="687" t="e">
        <f>HLOOKUP($D$2,'2020 Data(H)'!$C$1:$CZ$426,294,FALSE)</f>
        <v>#N/A</v>
      </c>
      <c r="F142" s="294">
        <v>0</v>
      </c>
      <c r="G142" s="767">
        <f>IF(F142&gt;F140,"Please review account numbers 635&gt;633",)</f>
        <v>0</v>
      </c>
      <c r="H142" s="753"/>
      <c r="I142" s="753"/>
      <c r="Z142" s="313"/>
      <c r="AA142" s="313"/>
      <c r="AB142" s="313"/>
      <c r="AC142" s="313"/>
      <c r="AD142" s="313"/>
      <c r="AE142" s="313"/>
      <c r="AF142" s="313"/>
      <c r="AG142" s="313"/>
      <c r="AH142" s="313"/>
      <c r="AI142" s="313"/>
      <c r="AJ142" s="313"/>
      <c r="AK142" s="313"/>
      <c r="AL142" s="313"/>
      <c r="AM142" s="313"/>
      <c r="AN142" s="313"/>
      <c r="AO142" s="313"/>
      <c r="AP142" s="313"/>
      <c r="AQ142" s="313"/>
      <c r="AR142" s="313"/>
    </row>
    <row r="143" spans="1:44" ht="106.5" hidden="1" customHeight="1" x14ac:dyDescent="0.25">
      <c r="A143" s="313">
        <v>636</v>
      </c>
      <c r="B143" s="844" t="s">
        <v>454</v>
      </c>
      <c r="C143" s="843" t="s">
        <v>458</v>
      </c>
      <c r="D143" s="345" t="s">
        <v>1282</v>
      </c>
      <c r="E143" s="687" t="e">
        <f>HLOOKUP($D$2,'2020 Data(H)'!$C$1:$CZ$426,295,FALSE)</f>
        <v>#N/A</v>
      </c>
      <c r="F143" s="294">
        <v>0</v>
      </c>
      <c r="G143" s="767">
        <f>IF(F143&gt;F140,"Please review account numbers 636&gt;633",)</f>
        <v>0</v>
      </c>
      <c r="H143" s="753"/>
      <c r="I143" s="753"/>
      <c r="Z143" s="313"/>
      <c r="AA143" s="313"/>
      <c r="AB143" s="313"/>
      <c r="AC143" s="313"/>
      <c r="AD143" s="313"/>
      <c r="AE143" s="313"/>
      <c r="AF143" s="313"/>
      <c r="AG143" s="313"/>
      <c r="AH143" s="313"/>
      <c r="AI143" s="313"/>
      <c r="AJ143" s="313"/>
      <c r="AK143" s="313"/>
      <c r="AL143" s="313"/>
      <c r="AM143" s="313"/>
      <c r="AN143" s="313"/>
      <c r="AO143" s="313"/>
      <c r="AP143" s="313"/>
      <c r="AQ143" s="313"/>
      <c r="AR143" s="313"/>
    </row>
    <row r="144" spans="1:44" ht="80.25" hidden="1" customHeight="1" x14ac:dyDescent="0.25">
      <c r="A144" s="313">
        <v>637</v>
      </c>
      <c r="B144" s="844" t="s">
        <v>454</v>
      </c>
      <c r="C144" s="843" t="s">
        <v>458</v>
      </c>
      <c r="D144" s="345" t="s">
        <v>1281</v>
      </c>
      <c r="E144" s="687" t="e">
        <f>HLOOKUP($D$2,'2020 Data(H)'!$C$1:$CZ$426,296,FALSE)</f>
        <v>#N/A</v>
      </c>
      <c r="F144" s="294">
        <v>0</v>
      </c>
      <c r="G144" s="767">
        <f>IF(F144&gt;F140,"Please review account numbers 637&gt;633",)</f>
        <v>0</v>
      </c>
      <c r="H144" s="753"/>
      <c r="I144" s="753"/>
      <c r="Z144" s="313"/>
      <c r="AA144" s="313"/>
      <c r="AB144" s="313"/>
      <c r="AC144" s="313"/>
      <c r="AD144" s="313"/>
      <c r="AE144" s="313"/>
      <c r="AF144" s="313"/>
      <c r="AG144" s="313"/>
      <c r="AH144" s="313"/>
      <c r="AI144" s="313"/>
      <c r="AJ144" s="313"/>
      <c r="AK144" s="313"/>
      <c r="AL144" s="313"/>
      <c r="AM144" s="313"/>
      <c r="AN144" s="313"/>
      <c r="AO144" s="313"/>
      <c r="AP144" s="313"/>
      <c r="AQ144" s="313"/>
      <c r="AR144" s="313"/>
    </row>
    <row r="145" spans="1:44" ht="110.25" hidden="1" customHeight="1" x14ac:dyDescent="0.25">
      <c r="A145" s="313">
        <v>638</v>
      </c>
      <c r="B145" s="844" t="s">
        <v>454</v>
      </c>
      <c r="C145" s="843" t="s">
        <v>458</v>
      </c>
      <c r="D145" s="345" t="s">
        <v>1280</v>
      </c>
      <c r="E145" s="687" t="e">
        <f>HLOOKUP($D$2,'2020 Data(H)'!$C$1:$CZ$426,297,FALSE)</f>
        <v>#N/A</v>
      </c>
      <c r="F145" s="294">
        <v>0</v>
      </c>
      <c r="G145" s="767">
        <f>IF(F145&gt;F140,"Please review account numbers 638&gt;633",)</f>
        <v>0</v>
      </c>
      <c r="H145" s="753"/>
      <c r="I145" s="753"/>
      <c r="Z145" s="313"/>
      <c r="AA145" s="313"/>
      <c r="AB145" s="313"/>
      <c r="AC145" s="313"/>
      <c r="AD145" s="313"/>
      <c r="AE145" s="313"/>
      <c r="AF145" s="313"/>
      <c r="AG145" s="313"/>
      <c r="AH145" s="313"/>
      <c r="AI145" s="313"/>
      <c r="AJ145" s="313"/>
      <c r="AK145" s="313"/>
      <c r="AL145" s="313"/>
      <c r="AM145" s="313"/>
      <c r="AN145" s="313"/>
      <c r="AO145" s="313"/>
      <c r="AP145" s="313"/>
      <c r="AQ145" s="313"/>
      <c r="AR145" s="313"/>
    </row>
    <row r="146" spans="1:44" ht="93.75" hidden="1" customHeight="1" x14ac:dyDescent="0.25">
      <c r="A146" s="108">
        <v>383</v>
      </c>
      <c r="B146" s="4" t="s">
        <v>62</v>
      </c>
      <c r="C146" s="4" t="s">
        <v>1192</v>
      </c>
      <c r="D146" s="29" t="s">
        <v>1279</v>
      </c>
      <c r="E146" s="687" t="e">
        <f>HLOOKUP($D$2,'2020 Data(H)'!$C$1:$CZ$426,142,FALSE)</f>
        <v>#N/A</v>
      </c>
      <c r="F146" s="294">
        <v>0</v>
      </c>
      <c r="G146" s="768">
        <f>IF(F146&gt;F140,"Error: Please review components of current liabilities above. Account number 383&gt;633",)</f>
        <v>0</v>
      </c>
      <c r="H146" s="769"/>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hidden="1" customHeight="1" x14ac:dyDescent="0.25">
      <c r="A147" s="108">
        <v>349</v>
      </c>
      <c r="B147" s="4" t="s">
        <v>62</v>
      </c>
      <c r="C147" s="4" t="s">
        <v>1192</v>
      </c>
      <c r="D147" s="107" t="s">
        <v>153</v>
      </c>
      <c r="E147" s="687" t="e">
        <f>HLOOKUP($D$2,'2020 Data(H)'!$C$1:$CZ$426,113,FALSE)</f>
        <v>#N/A</v>
      </c>
      <c r="F147" s="294">
        <v>0</v>
      </c>
      <c r="G147" s="748"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hidden="1" customHeight="1" x14ac:dyDescent="0.25">
      <c r="A148" s="108">
        <v>375</v>
      </c>
      <c r="B148" s="4" t="s">
        <v>62</v>
      </c>
      <c r="C148" s="4" t="s">
        <v>1192</v>
      </c>
      <c r="D148" s="726" t="s">
        <v>1198</v>
      </c>
      <c r="E148" s="687" t="e">
        <f>HLOOKUP($D$2,'2020 Data(H)'!$C$1:$CZ$426,134,FALSE)</f>
        <v>#N/A</v>
      </c>
      <c r="F148" s="294">
        <v>0</v>
      </c>
      <c r="G148" s="758"/>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hidden="1" customHeight="1" x14ac:dyDescent="0.25">
      <c r="A149" s="108">
        <v>83</v>
      </c>
      <c r="B149" s="4" t="s">
        <v>61</v>
      </c>
      <c r="C149" s="4" t="s">
        <v>1192</v>
      </c>
      <c r="D149" s="107" t="s">
        <v>154</v>
      </c>
      <c r="E149" s="687" t="e">
        <f>HLOOKUP($D$2,'2020 Data(H)'!$C$1:$CZ$426,47,FALSE)</f>
        <v>#N/A</v>
      </c>
      <c r="F149" s="294">
        <v>0</v>
      </c>
      <c r="G149" s="748">
        <f>IF(F138-F147-F149=0,,"Error: Total assets less total liabilities do not equal total net assets.  Account numbers 381-349-83=0  The amount of the formula is in the cell to the right")</f>
        <v>0</v>
      </c>
      <c r="H149" s="751">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25">
      <c r="A150" s="108"/>
      <c r="B150" s="883" t="s">
        <v>155</v>
      </c>
      <c r="C150" s="884"/>
      <c r="D150" s="859"/>
      <c r="E150" s="859"/>
      <c r="F150" s="879"/>
      <c r="G150" s="880"/>
      <c r="H150" s="763"/>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25">
      <c r="A151" s="108">
        <v>90</v>
      </c>
      <c r="B151" s="4" t="s">
        <v>63</v>
      </c>
      <c r="C151" s="4" t="s">
        <v>1199</v>
      </c>
      <c r="D151" s="24" t="s">
        <v>1200</v>
      </c>
      <c r="E151" s="687" t="e">
        <f>HLOOKUP($D$2,'2020 Data(H)'!$C$1:$CZ$426,52,FALSE)</f>
        <v>#N/A</v>
      </c>
      <c r="F151" s="294">
        <v>0</v>
      </c>
      <c r="G151" s="748">
        <f>IF(F151&lt;0,"Note: Number is normally positive.",)</f>
        <v>0</v>
      </c>
      <c r="H151" s="770"/>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25">
      <c r="A152" s="108">
        <v>91</v>
      </c>
      <c r="B152" s="4" t="s">
        <v>58</v>
      </c>
      <c r="C152" s="4" t="s">
        <v>1199</v>
      </c>
      <c r="D152" s="24" t="s">
        <v>1201</v>
      </c>
      <c r="E152" s="687" t="e">
        <f>HLOOKUP($D$2,'2020 Data(H)'!$C$1:$CZ$426,53,FALSE)</f>
        <v>#N/A</v>
      </c>
      <c r="F152" s="294">
        <v>0</v>
      </c>
      <c r="G152" s="748">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25">
      <c r="A153" s="108">
        <v>581</v>
      </c>
      <c r="B153" s="689" t="s">
        <v>354</v>
      </c>
      <c r="C153" s="689" t="s">
        <v>1199</v>
      </c>
      <c r="D153" s="842" t="s">
        <v>1202</v>
      </c>
      <c r="E153" s="687" t="e">
        <f>HLOOKUP($D$2,'2020 Data(H)'!$C$1:$CZ$426,231,FALSE)</f>
        <v>#N/A</v>
      </c>
      <c r="F153" s="294">
        <v>0</v>
      </c>
      <c r="G153" s="748"/>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25">
      <c r="A154" s="108">
        <v>511</v>
      </c>
      <c r="B154" s="4" t="s">
        <v>58</v>
      </c>
      <c r="C154" s="4" t="s">
        <v>1199</v>
      </c>
      <c r="D154" s="25" t="s">
        <v>156</v>
      </c>
      <c r="E154" s="687" t="e">
        <f>HLOOKUP($D$2,'2020 Data(H)'!$C$1:$CZ$426,161,FALSE)</f>
        <v>#N/A</v>
      </c>
      <c r="F154" s="294">
        <v>0</v>
      </c>
      <c r="G154" s="748">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25">
      <c r="A155" s="313">
        <v>657</v>
      </c>
      <c r="B155" s="843" t="s">
        <v>58</v>
      </c>
      <c r="C155" s="843" t="s">
        <v>1199</v>
      </c>
      <c r="D155" s="345" t="s">
        <v>1203</v>
      </c>
      <c r="E155" s="687" t="e">
        <f>HLOOKUP($D$2,'2020 Data(H)'!$C$1:$CZ$426,310,FALSE)</f>
        <v>#N/A</v>
      </c>
      <c r="F155" s="294">
        <v>0</v>
      </c>
      <c r="G155" s="771">
        <f>IF((F151+F152+F154)&gt;F155,"Error: Please review components of current assets above.  Account numbers (90+91+511)&gt;657",)</f>
        <v>0</v>
      </c>
      <c r="H155" s="17"/>
      <c r="I155" s="79"/>
      <c r="Z155" s="313"/>
      <c r="AA155" s="313"/>
      <c r="AB155" s="313"/>
      <c r="AC155" s="313"/>
      <c r="AD155" s="313"/>
      <c r="AE155" s="313"/>
      <c r="AF155" s="313"/>
      <c r="AG155" s="313"/>
      <c r="AH155" s="313"/>
      <c r="AI155" s="313"/>
      <c r="AJ155" s="313"/>
      <c r="AK155" s="313"/>
      <c r="AL155" s="313"/>
      <c r="AM155" s="313"/>
      <c r="AN155" s="313"/>
      <c r="AO155" s="313"/>
      <c r="AP155" s="313"/>
      <c r="AQ155" s="313"/>
      <c r="AR155" s="313"/>
    </row>
    <row r="156" spans="1:44" ht="70.5" hidden="1" customHeight="1" x14ac:dyDescent="0.25">
      <c r="A156" s="313">
        <v>658</v>
      </c>
      <c r="B156" s="843" t="s">
        <v>58</v>
      </c>
      <c r="C156" s="843" t="s">
        <v>1199</v>
      </c>
      <c r="D156" s="315" t="s">
        <v>584</v>
      </c>
      <c r="E156" s="687" t="e">
        <f>HLOOKUP($D$2,'2020 Data(H)'!$C$1:$CZ$426,311,FALSE)</f>
        <v>#N/A</v>
      </c>
      <c r="F156" s="294">
        <v>0</v>
      </c>
      <c r="G156" s="748"/>
      <c r="H156" s="17"/>
      <c r="I156" s="79"/>
      <c r="Z156" s="313"/>
      <c r="AA156" s="313"/>
      <c r="AB156" s="313"/>
      <c r="AC156" s="313"/>
      <c r="AD156" s="313"/>
      <c r="AE156" s="313"/>
      <c r="AF156" s="313"/>
      <c r="AG156" s="313"/>
      <c r="AH156" s="313"/>
      <c r="AI156" s="313"/>
      <c r="AJ156" s="313"/>
      <c r="AK156" s="313"/>
      <c r="AL156" s="313"/>
      <c r="AM156" s="313"/>
      <c r="AN156" s="313"/>
      <c r="AO156" s="313"/>
      <c r="AP156" s="313"/>
      <c r="AQ156" s="313"/>
      <c r="AR156" s="313"/>
    </row>
    <row r="157" spans="1:44" ht="50.25" hidden="1" customHeight="1" x14ac:dyDescent="0.25">
      <c r="A157" s="108">
        <v>382</v>
      </c>
      <c r="B157" s="4" t="s">
        <v>60</v>
      </c>
      <c r="C157" s="4" t="s">
        <v>1199</v>
      </c>
      <c r="D157" s="106" t="s">
        <v>130</v>
      </c>
      <c r="E157" s="687" t="e">
        <f>HLOOKUP($D$2,'2020 Data(H)'!$C$1:$CZ$426,141,FALSE)</f>
        <v>#N/A</v>
      </c>
      <c r="F157" s="294">
        <v>0</v>
      </c>
      <c r="G157" s="771">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25">
      <c r="A158" s="108">
        <v>360</v>
      </c>
      <c r="B158" s="4" t="s">
        <v>56</v>
      </c>
      <c r="C158" s="4" t="s">
        <v>1199</v>
      </c>
      <c r="D158" s="107" t="s">
        <v>157</v>
      </c>
      <c r="E158" s="687" t="e">
        <f>HLOOKUP($D$2,'2020 Data(H)'!$C$1:$CZ$426,121,FALSE)</f>
        <v>#N/A</v>
      </c>
      <c r="F158" s="294">
        <v>0</v>
      </c>
      <c r="G158" s="748"/>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25">
      <c r="A159" s="108">
        <v>580</v>
      </c>
      <c r="B159" s="689" t="s">
        <v>354</v>
      </c>
      <c r="C159" s="689" t="s">
        <v>1199</v>
      </c>
      <c r="D159" s="842" t="s">
        <v>1204</v>
      </c>
      <c r="E159" s="687" t="e">
        <f>HLOOKUP($D$2,'2020 Data(H)'!$C$1:$CZ$426,230,FALSE)</f>
        <v>#N/A</v>
      </c>
      <c r="F159" s="294">
        <v>0</v>
      </c>
      <c r="G159" s="748"/>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25">
      <c r="A160" s="314">
        <v>639</v>
      </c>
      <c r="B160" s="843" t="s">
        <v>582</v>
      </c>
      <c r="C160" s="843" t="s">
        <v>1199</v>
      </c>
      <c r="D160" s="345" t="s">
        <v>1283</v>
      </c>
      <c r="E160" s="687" t="e">
        <f>HLOOKUP($D$2,'2020 Data(H)'!$C$1:$CZ$426,298,FALSE)</f>
        <v>#N/A</v>
      </c>
      <c r="F160" s="294">
        <v>0</v>
      </c>
      <c r="G160" s="766" t="str">
        <f>IF(F160&gt;=(F161+F162+F163+F164+F165+F166),"","Account 639 is less than the total sum of accounts 640 through 644 + 384")</f>
        <v/>
      </c>
      <c r="H160" s="772">
        <f>F160-(F161+F162+F163+F164+F165+F166)</f>
        <v>0</v>
      </c>
      <c r="I160" s="753"/>
      <c r="Z160" s="314"/>
      <c r="AA160" s="314"/>
      <c r="AB160" s="314"/>
      <c r="AC160" s="314"/>
      <c r="AD160" s="314"/>
      <c r="AE160" s="314"/>
      <c r="AF160" s="314"/>
      <c r="AG160" s="314"/>
      <c r="AH160" s="314"/>
      <c r="AI160" s="314"/>
      <c r="AJ160" s="314"/>
      <c r="AK160" s="314"/>
      <c r="AL160" s="314"/>
      <c r="AM160" s="314"/>
      <c r="AN160" s="314"/>
      <c r="AO160" s="314"/>
      <c r="AP160" s="314"/>
      <c r="AQ160" s="314"/>
      <c r="AR160" s="314"/>
    </row>
    <row r="161" spans="1:44" ht="124.5" hidden="1" customHeight="1" x14ac:dyDescent="0.25">
      <c r="A161" s="313">
        <v>640</v>
      </c>
      <c r="B161" s="844" t="s">
        <v>454</v>
      </c>
      <c r="C161" s="843" t="s">
        <v>1199</v>
      </c>
      <c r="D161" s="345" t="s">
        <v>1284</v>
      </c>
      <c r="E161" s="687" t="e">
        <f>HLOOKUP($D$2,'2020 Data(H)'!$C$1:$CZ$426,299,FALSE)</f>
        <v>#N/A</v>
      </c>
      <c r="F161" s="294">
        <v>0</v>
      </c>
      <c r="G161" s="771">
        <f>IF(F161&gt;F160,"Error: Please review components of current liabilities above. Account numbers 640&gt;639",)</f>
        <v>0</v>
      </c>
      <c r="H161" s="753"/>
      <c r="I161" s="772"/>
      <c r="Z161" s="313"/>
      <c r="AA161" s="313"/>
      <c r="AB161" s="313"/>
      <c r="AC161" s="313"/>
      <c r="AD161" s="313"/>
      <c r="AE161" s="313"/>
      <c r="AF161" s="313"/>
      <c r="AG161" s="313"/>
      <c r="AH161" s="313"/>
      <c r="AI161" s="313"/>
      <c r="AJ161" s="313"/>
      <c r="AK161" s="313"/>
      <c r="AL161" s="313"/>
      <c r="AM161" s="313"/>
      <c r="AN161" s="313"/>
      <c r="AO161" s="313"/>
      <c r="AP161" s="313"/>
      <c r="AQ161" s="313"/>
      <c r="AR161" s="313"/>
    </row>
    <row r="162" spans="1:44" ht="133.5" hidden="1" customHeight="1" x14ac:dyDescent="0.25">
      <c r="A162" s="313">
        <v>641</v>
      </c>
      <c r="B162" s="844" t="s">
        <v>454</v>
      </c>
      <c r="C162" s="843" t="s">
        <v>1199</v>
      </c>
      <c r="D162" s="345" t="s">
        <v>1285</v>
      </c>
      <c r="E162" s="687" t="e">
        <f>HLOOKUP($D$2,'2020 Data(H)'!$C$1:$CZ$426,300,FALSE)</f>
        <v>#N/A</v>
      </c>
      <c r="F162" s="294">
        <v>0</v>
      </c>
      <c r="G162" s="771">
        <f>IF(F162&gt;F160,"Error: Please review components of current liabilities above. Account numbers 641&gt;639",)</f>
        <v>0</v>
      </c>
      <c r="H162" s="753"/>
      <c r="I162" s="753"/>
      <c r="Z162" s="313"/>
      <c r="AA162" s="313"/>
      <c r="AB162" s="313"/>
      <c r="AC162" s="313"/>
      <c r="AD162" s="313"/>
      <c r="AE162" s="313"/>
      <c r="AF162" s="313"/>
      <c r="AG162" s="313"/>
      <c r="AH162" s="313"/>
      <c r="AI162" s="313"/>
      <c r="AJ162" s="313"/>
      <c r="AK162" s="313"/>
      <c r="AL162" s="313"/>
      <c r="AM162" s="313"/>
      <c r="AN162" s="313"/>
      <c r="AO162" s="313"/>
      <c r="AP162" s="313"/>
      <c r="AQ162" s="313"/>
      <c r="AR162" s="313"/>
    </row>
    <row r="163" spans="1:44" ht="118.5" hidden="1" customHeight="1" x14ac:dyDescent="0.25">
      <c r="A163" s="313">
        <v>642</v>
      </c>
      <c r="B163" s="844" t="s">
        <v>454</v>
      </c>
      <c r="C163" s="843" t="s">
        <v>1199</v>
      </c>
      <c r="D163" s="345" t="s">
        <v>1286</v>
      </c>
      <c r="E163" s="687" t="e">
        <f>HLOOKUP($D$2,'2020 Data(H)'!$C$1:$CZ$426,301,FALSE)</f>
        <v>#N/A</v>
      </c>
      <c r="F163" s="294">
        <v>0</v>
      </c>
      <c r="G163" s="771">
        <f>IF(F163&gt;F160,"Error: Please review components of current liabilities above. Account numbers  642&gt;639",)</f>
        <v>0</v>
      </c>
      <c r="H163" s="753"/>
      <c r="I163" s="753"/>
      <c r="Z163" s="313"/>
      <c r="AA163" s="313"/>
      <c r="AB163" s="313"/>
      <c r="AC163" s="313"/>
      <c r="AD163" s="313"/>
      <c r="AE163" s="313"/>
      <c r="AF163" s="313"/>
      <c r="AG163" s="313"/>
      <c r="AH163" s="313"/>
      <c r="AI163" s="313"/>
      <c r="AJ163" s="313"/>
      <c r="AK163" s="313"/>
      <c r="AL163" s="313"/>
      <c r="AM163" s="313"/>
      <c r="AN163" s="313"/>
      <c r="AO163" s="313"/>
      <c r="AP163" s="313"/>
      <c r="AQ163" s="313"/>
      <c r="AR163" s="313"/>
    </row>
    <row r="164" spans="1:44" ht="81.75" hidden="1" customHeight="1" x14ac:dyDescent="0.25">
      <c r="A164" s="313">
        <v>643</v>
      </c>
      <c r="B164" s="844" t="s">
        <v>454</v>
      </c>
      <c r="C164" s="843" t="s">
        <v>1199</v>
      </c>
      <c r="D164" s="345" t="s">
        <v>1287</v>
      </c>
      <c r="E164" s="687" t="e">
        <f>HLOOKUP($D$2,'2020 Data(H)'!$C$1:$CZ$426,302,FALSE)</f>
        <v>#N/A</v>
      </c>
      <c r="F164" s="294">
        <v>0</v>
      </c>
      <c r="G164" s="771">
        <f>IF(F164&gt;F160,"Error: Please review components of current liabilities above. Account numbers 643&gt;639",)</f>
        <v>0</v>
      </c>
      <c r="H164" s="753"/>
      <c r="I164" s="753"/>
      <c r="Z164" s="313"/>
      <c r="AA164" s="313"/>
      <c r="AB164" s="313"/>
      <c r="AC164" s="313"/>
      <c r="AD164" s="313"/>
      <c r="AE164" s="313"/>
      <c r="AF164" s="313"/>
      <c r="AG164" s="313"/>
      <c r="AH164" s="313"/>
      <c r="AI164" s="313"/>
      <c r="AJ164" s="313"/>
      <c r="AK164" s="313"/>
      <c r="AL164" s="313"/>
      <c r="AM164" s="313"/>
      <c r="AN164" s="313"/>
      <c r="AO164" s="313"/>
      <c r="AP164" s="313"/>
      <c r="AQ164" s="313"/>
      <c r="AR164" s="313"/>
    </row>
    <row r="165" spans="1:44" ht="108" hidden="1" customHeight="1" x14ac:dyDescent="0.25">
      <c r="A165" s="313">
        <v>644</v>
      </c>
      <c r="B165" s="844" t="s">
        <v>454</v>
      </c>
      <c r="C165" s="843" t="s">
        <v>1199</v>
      </c>
      <c r="D165" s="345" t="s">
        <v>1288</v>
      </c>
      <c r="E165" s="687" t="e">
        <f>HLOOKUP($D$2,'2020 Data(H)'!$C$1:$CZ$426,303,FALSE)</f>
        <v>#N/A</v>
      </c>
      <c r="F165" s="294">
        <v>0</v>
      </c>
      <c r="G165" s="771">
        <f>IF(F165&gt;F160,"Error: Please review components of current liabilities above. Account number 644&gt;639",)</f>
        <v>0</v>
      </c>
      <c r="H165" s="753"/>
      <c r="I165" s="753"/>
      <c r="Z165" s="313"/>
      <c r="AA165" s="313"/>
      <c r="AB165" s="313"/>
      <c r="AC165" s="313"/>
      <c r="AD165" s="313"/>
      <c r="AE165" s="313"/>
      <c r="AF165" s="313"/>
      <c r="AG165" s="313"/>
      <c r="AH165" s="313"/>
      <c r="AI165" s="313"/>
      <c r="AJ165" s="313"/>
      <c r="AK165" s="313"/>
      <c r="AL165" s="313"/>
      <c r="AM165" s="313"/>
      <c r="AN165" s="313"/>
      <c r="AO165" s="313"/>
      <c r="AP165" s="313"/>
      <c r="AQ165" s="313"/>
      <c r="AR165" s="313"/>
    </row>
    <row r="166" spans="1:44" ht="99.75" hidden="1" customHeight="1" x14ac:dyDescent="0.25">
      <c r="A166" s="108">
        <v>384</v>
      </c>
      <c r="B166" s="4" t="s">
        <v>63</v>
      </c>
      <c r="C166" s="4" t="s">
        <v>1199</v>
      </c>
      <c r="D166" s="29" t="s">
        <v>1289</v>
      </c>
      <c r="E166" s="687" t="e">
        <f>HLOOKUP($D$2,'2020 Data(H)'!$C$1:$CZ$426,143,FALSE)</f>
        <v>#N/A</v>
      </c>
      <c r="F166" s="756">
        <v>0</v>
      </c>
      <c r="G166" s="768">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25">
      <c r="A167" s="108">
        <v>361</v>
      </c>
      <c r="B167" s="4" t="s">
        <v>56</v>
      </c>
      <c r="C167" s="4" t="s">
        <v>1199</v>
      </c>
      <c r="D167" s="726" t="s">
        <v>1205</v>
      </c>
      <c r="E167" s="687" t="e">
        <f>HLOOKUP($D$2,'2020 Data(H)'!$C$1:$CZ$426,122,FALSE)</f>
        <v>#N/A</v>
      </c>
      <c r="F167" s="294">
        <v>0</v>
      </c>
      <c r="G167" s="758"/>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25">
      <c r="A168" s="108">
        <v>362</v>
      </c>
      <c r="B168" s="4" t="s">
        <v>56</v>
      </c>
      <c r="C168" s="4" t="s">
        <v>1199</v>
      </c>
      <c r="D168" s="107" t="s">
        <v>158</v>
      </c>
      <c r="E168" s="687" t="e">
        <f>HLOOKUP($D$2,'2020 Data(H)'!$C$1:$CZ$426,123,FALSE)</f>
        <v>#N/A</v>
      </c>
      <c r="F168" s="294">
        <v>0</v>
      </c>
      <c r="G168" s="748">
        <f>IF(H168=0,,"Error: Total assets less total liabilities do not equal total net position. Account numbers 382-360-362=0  The amount of the formula is in the cell to the right")</f>
        <v>0</v>
      </c>
      <c r="H168" s="751">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hidden="1" customHeight="1" x14ac:dyDescent="0.25">
      <c r="A169" s="108"/>
      <c r="B169" s="872" t="s">
        <v>182</v>
      </c>
      <c r="C169" s="873"/>
      <c r="D169" s="885"/>
      <c r="E169" s="866"/>
      <c r="F169" s="871"/>
      <c r="G169" s="871"/>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25">
      <c r="A170" s="108"/>
      <c r="B170" s="1193" t="s">
        <v>1307</v>
      </c>
      <c r="C170" s="1193"/>
      <c r="D170" s="1193"/>
      <c r="E170" s="859"/>
      <c r="F170" s="880"/>
      <c r="G170" s="880"/>
      <c r="H170" s="17"/>
      <c r="I170" s="79"/>
      <c r="N170" s="295"/>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25">
      <c r="A171" s="108">
        <v>88</v>
      </c>
      <c r="B171" s="4" t="s">
        <v>61</v>
      </c>
      <c r="C171" s="4" t="s">
        <v>1206</v>
      </c>
      <c r="D171" s="24" t="s">
        <v>1207</v>
      </c>
      <c r="E171" s="687" t="e">
        <f>HLOOKUP($D$2,'2020 Data(H)'!$C$1:$CZ$426,50,FALSE)</f>
        <v>#N/A</v>
      </c>
      <c r="F171" s="294">
        <v>0</v>
      </c>
      <c r="G171" s="758"/>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25">
      <c r="A172" s="108">
        <v>84</v>
      </c>
      <c r="B172" s="4" t="s">
        <v>61</v>
      </c>
      <c r="C172" s="4" t="s">
        <v>1206</v>
      </c>
      <c r="D172" s="29" t="s">
        <v>159</v>
      </c>
      <c r="E172" s="687" t="e">
        <f>HLOOKUP($D$2,'2020 Data(H)'!$C$1:$CZ$426,48,FALSE)</f>
        <v>#N/A</v>
      </c>
      <c r="F172" s="294">
        <v>0</v>
      </c>
      <c r="G172" s="748">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25">
      <c r="A173" s="108">
        <v>49</v>
      </c>
      <c r="B173" s="4" t="s">
        <v>57</v>
      </c>
      <c r="C173" s="4" t="s">
        <v>1206</v>
      </c>
      <c r="D173" s="29" t="s">
        <v>160</v>
      </c>
      <c r="E173" s="687" t="e">
        <f>HLOOKUP($D$2,'2020 Data(H)'!$C$1:$CZ$426,36,FALSE)</f>
        <v>#N/A</v>
      </c>
      <c r="F173" s="294">
        <v>0</v>
      </c>
      <c r="G173" s="748">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25">
      <c r="A174" s="108">
        <v>85</v>
      </c>
      <c r="B174" s="4" t="s">
        <v>68</v>
      </c>
      <c r="C174" s="4" t="s">
        <v>1206</v>
      </c>
      <c r="D174" s="29" t="s">
        <v>161</v>
      </c>
      <c r="E174" s="687" t="e">
        <f>HLOOKUP($D$2,'2020 Data(H)'!$C$1:$CZ$426,49,FALSE)</f>
        <v>#N/A</v>
      </c>
      <c r="F174" s="294">
        <v>0</v>
      </c>
      <c r="G174" s="748">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25">
      <c r="A175" s="108">
        <v>89</v>
      </c>
      <c r="B175" s="4" t="s">
        <v>56</v>
      </c>
      <c r="C175" s="4" t="s">
        <v>1206</v>
      </c>
      <c r="D175" s="29" t="s">
        <v>162</v>
      </c>
      <c r="E175" s="687" t="e">
        <f>HLOOKUP($D$2,'2020 Data(H)'!$C$1:$CZ$426,51,FALSE)</f>
        <v>#N/A</v>
      </c>
      <c r="F175" s="294">
        <v>0</v>
      </c>
      <c r="G175" s="748">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25">
      <c r="A176" s="108">
        <v>350</v>
      </c>
      <c r="B176" s="4" t="s">
        <v>56</v>
      </c>
      <c r="C176" s="4" t="s">
        <v>1206</v>
      </c>
      <c r="D176" s="24" t="s">
        <v>1208</v>
      </c>
      <c r="E176" s="687" t="e">
        <f>HLOOKUP($D$2,'2020 Data(H)'!$C$1:$CZ$426,114,FALSE)</f>
        <v>#N/A</v>
      </c>
      <c r="F176" s="294">
        <v>0</v>
      </c>
      <c r="G176" s="758"/>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25">
      <c r="A177" s="108">
        <v>351</v>
      </c>
      <c r="B177" s="4" t="s">
        <v>56</v>
      </c>
      <c r="C177" s="4" t="s">
        <v>1206</v>
      </c>
      <c r="D177" s="24" t="s">
        <v>1209</v>
      </c>
      <c r="E177" s="687" t="e">
        <f>HLOOKUP($D$2,'2020 Data(H)'!$C$1:$CZ$426,115,FALSE)</f>
        <v>#N/A</v>
      </c>
      <c r="F177" s="294">
        <v>0</v>
      </c>
      <c r="G177" s="748">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25">
      <c r="A178" s="108">
        <v>191</v>
      </c>
      <c r="B178" s="4" t="s">
        <v>57</v>
      </c>
      <c r="C178" s="4" t="s">
        <v>1206</v>
      </c>
      <c r="D178" s="24" t="s">
        <v>1210</v>
      </c>
      <c r="E178" s="687" t="e">
        <f>HLOOKUP($D$2,'2020 Data(H)'!$C$1:$CZ$426,72,FALSE)</f>
        <v>#N/A</v>
      </c>
      <c r="F178" s="294">
        <v>0</v>
      </c>
      <c r="G178" s="748">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25">
      <c r="A179" s="108">
        <v>352</v>
      </c>
      <c r="B179" s="4" t="s">
        <v>68</v>
      </c>
      <c r="C179" s="4" t="s">
        <v>1206</v>
      </c>
      <c r="D179" s="29" t="s">
        <v>1051</v>
      </c>
      <c r="E179" s="687" t="e">
        <f>HLOOKUP($D$2,'2020 Data(H)'!$C$1:$CZ$426,116,FALSE)</f>
        <v>#N/A</v>
      </c>
      <c r="F179" s="294">
        <v>0</v>
      </c>
      <c r="G179" s="748">
        <f>IF(F179&lt;0,"Error: Enter as positive.",)</f>
        <v>0</v>
      </c>
      <c r="H179" s="727"/>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25">
      <c r="A180" s="108">
        <v>986</v>
      </c>
      <c r="B180" s="847" t="s">
        <v>777</v>
      </c>
      <c r="C180" s="847" t="s">
        <v>1206</v>
      </c>
      <c r="D180" s="319" t="s">
        <v>806</v>
      </c>
      <c r="E180" s="687" t="s">
        <v>778</v>
      </c>
      <c r="F180" s="294">
        <v>0</v>
      </c>
      <c r="G180" s="748">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25">
      <c r="A181" s="108">
        <v>353</v>
      </c>
      <c r="B181" s="4" t="s">
        <v>68</v>
      </c>
      <c r="C181" s="4" t="s">
        <v>1206</v>
      </c>
      <c r="D181" s="29" t="s">
        <v>143</v>
      </c>
      <c r="E181" s="687" t="e">
        <f>HLOOKUP($D$2,'2020 Data(H)'!$C$1:$CZ$426,117,FALSE)</f>
        <v>#N/A</v>
      </c>
      <c r="F181" s="294">
        <v>0</v>
      </c>
      <c r="G181" s="748">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25">
      <c r="A182" s="108">
        <v>50</v>
      </c>
      <c r="B182" s="4" t="s">
        <v>64</v>
      </c>
      <c r="C182" s="4" t="s">
        <v>1206</v>
      </c>
      <c r="D182" s="726" t="s">
        <v>1211</v>
      </c>
      <c r="E182" s="687" t="e">
        <f>HLOOKUP($D$2,'2020 Data(H)'!$C$1:$CZ$426,37,FALSE)</f>
        <v>#N/A</v>
      </c>
      <c r="F182" s="292">
        <v>0</v>
      </c>
      <c r="G182" s="748">
        <f>IF(H182=0,,"Error: Total revenues less total expenses do not equal total change in net position. Account number 84-85+350-351+191+352-353-50=0  The amount of the formula is in the cell to the right")</f>
        <v>0</v>
      </c>
      <c r="H182" s="751">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25">
      <c r="A183" s="108">
        <v>377</v>
      </c>
      <c r="B183" s="4" t="s">
        <v>68</v>
      </c>
      <c r="C183" s="4" t="s">
        <v>1206</v>
      </c>
      <c r="D183" s="726" t="s">
        <v>1212</v>
      </c>
      <c r="E183" s="687" t="e">
        <f>HLOOKUP($D$2,'2020 Data(H)'!$C$1:$CZ$426,136,FALSE)</f>
        <v>#N/A</v>
      </c>
      <c r="F183" s="292">
        <v>0</v>
      </c>
      <c r="G183" s="748" t="e">
        <f>IF(F149-F182-F183=E149,,"Error: Beginning Balance does not agree with our records.  Acct #s (83-50-377)=prior year 83 The amount of the formula is in the cell to the right")</f>
        <v>#N/A</v>
      </c>
      <c r="H183" s="751"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25">
      <c r="A184" s="108">
        <v>537</v>
      </c>
      <c r="B184" s="689" t="s">
        <v>59</v>
      </c>
      <c r="C184" s="689" t="s">
        <v>1206</v>
      </c>
      <c r="D184" s="686" t="s">
        <v>1213</v>
      </c>
      <c r="E184" s="59" t="e">
        <f>HLOOKUP($D$2,'2020 Data(H)'!$C$1:$CZ$426,250,FALSE)</f>
        <v>#N/A</v>
      </c>
      <c r="F184" s="294"/>
      <c r="G184" s="748"/>
      <c r="H184" s="749"/>
      <c r="I184" s="750"/>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25">
      <c r="A185" s="108">
        <v>538</v>
      </c>
      <c r="B185" s="689" t="s">
        <v>59</v>
      </c>
      <c r="C185" s="689" t="s">
        <v>1206</v>
      </c>
      <c r="D185" s="686" t="s">
        <v>1214</v>
      </c>
      <c r="E185" s="687" t="e">
        <f>HLOOKUP($D$2,'2020 Data(H)'!$C$1:$CZ$426,251,FALSE)</f>
        <v>#N/A</v>
      </c>
      <c r="F185" s="294"/>
      <c r="G185" s="748"/>
      <c r="H185" s="749"/>
      <c r="I185" s="750"/>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25">
      <c r="A186" s="108"/>
      <c r="B186" s="883" t="s">
        <v>6</v>
      </c>
      <c r="C186" s="884"/>
      <c r="D186" s="859"/>
      <c r="E186" s="859"/>
      <c r="F186" s="879"/>
      <c r="G186" s="880"/>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25">
      <c r="A187" s="108">
        <v>97</v>
      </c>
      <c r="B187" s="4" t="s">
        <v>68</v>
      </c>
      <c r="C187" s="4" t="s">
        <v>1215</v>
      </c>
      <c r="D187" s="29" t="s">
        <v>163</v>
      </c>
      <c r="E187" s="687" t="e">
        <f>HLOOKUP($D$2,'2020 Data(H)'!$C$1:$CZ$426,57,FALSE)</f>
        <v>#N/A</v>
      </c>
      <c r="F187" s="292">
        <v>0</v>
      </c>
      <c r="G187" s="758"/>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25">
      <c r="A188" s="108">
        <v>93</v>
      </c>
      <c r="B188" s="4" t="s">
        <v>66</v>
      </c>
      <c r="C188" s="4" t="s">
        <v>1215</v>
      </c>
      <c r="D188" s="29" t="s">
        <v>159</v>
      </c>
      <c r="E188" s="687" t="e">
        <f>HLOOKUP($D$2,'2020 Data(H)'!$C$1:$CZ$426,55,FALSE)</f>
        <v>#N/A</v>
      </c>
      <c r="F188" s="293">
        <v>0</v>
      </c>
      <c r="G188" s="748">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25">
      <c r="A189" s="108">
        <v>99</v>
      </c>
      <c r="B189" s="4" t="s">
        <v>58</v>
      </c>
      <c r="C189" s="4" t="s">
        <v>1215</v>
      </c>
      <c r="D189" s="29" t="s">
        <v>164</v>
      </c>
      <c r="E189" s="687" t="e">
        <f>HLOOKUP($D$2,'2020 Data(H)'!$C$1:$CZ$426,59,FALSE)</f>
        <v>#N/A</v>
      </c>
      <c r="F189" s="293">
        <v>0</v>
      </c>
      <c r="G189" s="748">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25">
      <c r="A190" s="108">
        <v>52</v>
      </c>
      <c r="B190" s="4" t="s">
        <v>58</v>
      </c>
      <c r="C190" s="4" t="s">
        <v>1215</v>
      </c>
      <c r="D190" s="29" t="s">
        <v>160</v>
      </c>
      <c r="E190" s="687" t="e">
        <f>HLOOKUP($D$2,'2020 Data(H)'!$C$1:$CZ$426,39,FALSE)</f>
        <v>#N/A</v>
      </c>
      <c r="F190" s="293">
        <v>0</v>
      </c>
      <c r="G190" s="748">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25">
      <c r="A191" s="108">
        <v>94</v>
      </c>
      <c r="B191" s="4" t="s">
        <v>66</v>
      </c>
      <c r="C191" s="4" t="s">
        <v>1215</v>
      </c>
      <c r="D191" s="29" t="s">
        <v>161</v>
      </c>
      <c r="E191" s="687" t="e">
        <f>HLOOKUP($D$2,'2020 Data(H)'!$C$1:$CZ$426,56,FALSE)</f>
        <v>#N/A</v>
      </c>
      <c r="F191" s="293">
        <v>0</v>
      </c>
      <c r="G191" s="748">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25">
      <c r="A192" s="108">
        <v>98</v>
      </c>
      <c r="B192" s="4" t="s">
        <v>66</v>
      </c>
      <c r="C192" s="4" t="s">
        <v>1215</v>
      </c>
      <c r="D192" s="29" t="s">
        <v>162</v>
      </c>
      <c r="E192" s="687" t="e">
        <f>HLOOKUP($D$2,'2020 Data(H)'!$C$1:$CZ$426,58,FALSE)</f>
        <v>#N/A</v>
      </c>
      <c r="F192" s="293">
        <v>0</v>
      </c>
      <c r="G192" s="748">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25">
      <c r="A193" s="108">
        <v>363</v>
      </c>
      <c r="B193" s="4" t="s">
        <v>56</v>
      </c>
      <c r="C193" s="4" t="s">
        <v>1215</v>
      </c>
      <c r="D193" s="24" t="s">
        <v>1216</v>
      </c>
      <c r="E193" s="687" t="e">
        <f>HLOOKUP($D$2,'2020 Data(H)'!$C$1:$CZ$426,124,FALSE)</f>
        <v>#N/A</v>
      </c>
      <c r="F193" s="293">
        <v>0</v>
      </c>
      <c r="G193" s="748">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25">
      <c r="A194" s="108">
        <v>364</v>
      </c>
      <c r="B194" s="4" t="s">
        <v>56</v>
      </c>
      <c r="C194" s="4" t="s">
        <v>1215</v>
      </c>
      <c r="D194" s="24" t="s">
        <v>1217</v>
      </c>
      <c r="E194" s="687" t="e">
        <f>HLOOKUP($D$2,'2020 Data(H)'!$C$1:$CZ$426,125,FALSE)</f>
        <v>#N/A</v>
      </c>
      <c r="F194" s="293">
        <v>0</v>
      </c>
      <c r="G194" s="748">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25">
      <c r="A195" s="108">
        <v>192</v>
      </c>
      <c r="B195" s="4" t="s">
        <v>58</v>
      </c>
      <c r="C195" s="4" t="s">
        <v>1215</v>
      </c>
      <c r="D195" s="24" t="s">
        <v>1218</v>
      </c>
      <c r="E195" s="687" t="e">
        <f>HLOOKUP($D$2,'2020 Data(H)'!$C$1:$CZ$426,73,FALSE)</f>
        <v>#N/A</v>
      </c>
      <c r="F195" s="293">
        <v>0</v>
      </c>
      <c r="G195" s="748">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25">
      <c r="A196" s="108">
        <v>365</v>
      </c>
      <c r="B196" s="4" t="s">
        <v>66</v>
      </c>
      <c r="C196" s="4" t="s">
        <v>1215</v>
      </c>
      <c r="D196" s="24" t="s">
        <v>1219</v>
      </c>
      <c r="E196" s="687" t="e">
        <f>HLOOKUP($D$2,'2020 Data(H)'!$C$1:$CZ$426,126,FALSE)</f>
        <v>#N/A</v>
      </c>
      <c r="F196" s="293">
        <v>0</v>
      </c>
      <c r="G196" s="748">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25">
      <c r="A197" s="108">
        <v>366</v>
      </c>
      <c r="B197" s="4" t="s">
        <v>66</v>
      </c>
      <c r="C197" s="4" t="s">
        <v>1215</v>
      </c>
      <c r="D197" s="24" t="s">
        <v>1220</v>
      </c>
      <c r="E197" s="687" t="e">
        <f>HLOOKUP($D$2,'2020 Data(H)'!$C$1:$CZ$426,127,FALSE)</f>
        <v>#N/A</v>
      </c>
      <c r="F197" s="293">
        <v>0</v>
      </c>
      <c r="G197" s="748">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25">
      <c r="A198" s="108">
        <v>53</v>
      </c>
      <c r="B198" s="689" t="s">
        <v>66</v>
      </c>
      <c r="C198" s="689" t="s">
        <v>1215</v>
      </c>
      <c r="D198" s="726" t="s">
        <v>1221</v>
      </c>
      <c r="E198" s="687" t="e">
        <f>HLOOKUP($D$2,'2020 Data(H)'!$C$1:$CZ$426,40,FALSE)</f>
        <v>#N/A</v>
      </c>
      <c r="F198" s="293">
        <v>0</v>
      </c>
      <c r="G198" s="748">
        <f>IF(H198=0,,"Error: Total revenues less total expenses do not equal total change in net position. Account number 93-94+363-364+192+365-366-53=0  The amount of the formula is in the cell to the right")</f>
        <v>0</v>
      </c>
      <c r="H198" s="751">
        <f>+F188-F191+F193-F194+F195+F196-F197-F198</f>
        <v>0</v>
      </c>
      <c r="I198" s="79"/>
      <c r="N198" s="295"/>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25">
      <c r="A199" s="108">
        <v>378</v>
      </c>
      <c r="B199" s="5" t="s">
        <v>56</v>
      </c>
      <c r="C199" s="4" t="s">
        <v>1215</v>
      </c>
      <c r="D199" s="726" t="s">
        <v>1222</v>
      </c>
      <c r="E199" s="687" t="e">
        <f>HLOOKUP($D$2,'2020 Data(H)'!$C$1:$CZ$426,137,FALSE)</f>
        <v>#N/A</v>
      </c>
      <c r="F199" s="292">
        <v>0</v>
      </c>
      <c r="G199" s="748" t="e">
        <f>IF(F168-F198-F199=E168,,"Error: Beginning Balance does not agree with our records.  Acct #s (362-53-378)=prior year 362  The amount of the formula is in the cell to the right")</f>
        <v>#N/A</v>
      </c>
      <c r="H199" s="751" t="e">
        <f>+F168-F198-F199-E168</f>
        <v>#N/A</v>
      </c>
      <c r="I199" s="79"/>
      <c r="N199" s="295"/>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hidden="1" customHeight="1" x14ac:dyDescent="0.25">
      <c r="A200" s="108"/>
      <c r="B200" s="883" t="s">
        <v>554</v>
      </c>
      <c r="C200" s="883"/>
      <c r="D200" s="886"/>
      <c r="E200" s="866"/>
      <c r="F200" s="887"/>
      <c r="G200" s="868"/>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25">
      <c r="A201" s="108"/>
      <c r="B201" s="888" t="s">
        <v>1223</v>
      </c>
      <c r="C201" s="884"/>
      <c r="D201" s="859"/>
      <c r="E201" s="859"/>
      <c r="F201" s="889"/>
      <c r="G201" s="880"/>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25">
      <c r="A202" s="108"/>
      <c r="B202" s="884" t="s">
        <v>1224</v>
      </c>
      <c r="C202" s="884"/>
      <c r="D202" s="875"/>
      <c r="E202" s="857"/>
      <c r="F202" s="890"/>
      <c r="G202" s="882"/>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25">
      <c r="A203" s="108"/>
      <c r="B203" s="884" t="s">
        <v>23</v>
      </c>
      <c r="C203" s="884"/>
      <c r="D203" s="875"/>
      <c r="E203" s="857"/>
      <c r="F203" s="890"/>
      <c r="G203" s="882"/>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25">
      <c r="A204" s="108">
        <v>51</v>
      </c>
      <c r="B204" s="4" t="s">
        <v>321</v>
      </c>
      <c r="C204" s="848" t="s">
        <v>1225</v>
      </c>
      <c r="D204" s="24" t="s">
        <v>1226</v>
      </c>
      <c r="E204" s="687" t="e">
        <f>HLOOKUP($D$2,'2020 Data(H)'!$C$1:$CZ$426,38,FALSE)</f>
        <v>#N/A</v>
      </c>
      <c r="F204" s="293">
        <v>0</v>
      </c>
      <c r="G204" s="758"/>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25">
      <c r="A205" s="108">
        <v>332</v>
      </c>
      <c r="B205" s="4" t="s">
        <v>37</v>
      </c>
      <c r="C205" s="848" t="s">
        <v>1225</v>
      </c>
      <c r="D205" s="24" t="s">
        <v>1227</v>
      </c>
      <c r="E205" s="687" t="e">
        <f>HLOOKUP($D$2,'2020 Data(H)'!$C$1:$CZ$426,98,FALSE)</f>
        <v>#N/A</v>
      </c>
      <c r="F205" s="293">
        <v>0</v>
      </c>
      <c r="G205" s="748">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25">
      <c r="A206" s="108">
        <v>331</v>
      </c>
      <c r="B206" s="4" t="s">
        <v>321</v>
      </c>
      <c r="C206" s="848" t="s">
        <v>1225</v>
      </c>
      <c r="D206" s="24" t="s">
        <v>1228</v>
      </c>
      <c r="E206" s="687" t="e">
        <f>HLOOKUP($D$2,'2020 Data(H)'!$C$1:$CZ$426,97,FALSE)</f>
        <v>#N/A</v>
      </c>
      <c r="F206" s="293">
        <v>0</v>
      </c>
      <c r="G206" s="748">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25">
      <c r="A207" s="108"/>
      <c r="B207" s="883" t="s">
        <v>6</v>
      </c>
      <c r="C207" s="884"/>
      <c r="D207" s="884"/>
      <c r="E207" s="859"/>
      <c r="F207" s="889"/>
      <c r="G207" s="891"/>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25">
      <c r="A208" s="108">
        <v>55</v>
      </c>
      <c r="B208" s="4" t="s">
        <v>59</v>
      </c>
      <c r="C208" s="848" t="s">
        <v>1229</v>
      </c>
      <c r="D208" s="24" t="s">
        <v>1230</v>
      </c>
      <c r="E208" s="687" t="e">
        <f>HLOOKUP($D$2,'2020 Data(H)'!$C$1:$CZ$426,42,FALSE)</f>
        <v>#N/A</v>
      </c>
      <c r="F208" s="293">
        <v>0</v>
      </c>
      <c r="G208" s="758"/>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25">
      <c r="A209" s="108">
        <v>101</v>
      </c>
      <c r="B209" s="4" t="s">
        <v>65</v>
      </c>
      <c r="C209" s="848" t="s">
        <v>1229</v>
      </c>
      <c r="D209" s="24" t="s">
        <v>1231</v>
      </c>
      <c r="E209" s="687" t="e">
        <f>HLOOKUP($D$2,'2020 Data(H)'!$C$1:$CZ$426,61,FALSE)</f>
        <v>#N/A</v>
      </c>
      <c r="F209" s="293">
        <v>0</v>
      </c>
      <c r="G209" s="748">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25">
      <c r="A210" s="108">
        <v>100</v>
      </c>
      <c r="B210" s="4" t="s">
        <v>66</v>
      </c>
      <c r="C210" s="848" t="s">
        <v>1229</v>
      </c>
      <c r="D210" s="24" t="s">
        <v>1228</v>
      </c>
      <c r="E210" s="687" t="e">
        <f>HLOOKUP($D$2,'2020 Data(H)'!$C$1:$CZ$426,60,FALSE)</f>
        <v>#N/A</v>
      </c>
      <c r="F210" s="293">
        <v>0</v>
      </c>
      <c r="G210" s="748">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25">
      <c r="A211" s="108"/>
      <c r="B211" s="859" t="s">
        <v>71</v>
      </c>
      <c r="C211" s="875"/>
      <c r="D211" s="859"/>
      <c r="E211" s="859"/>
      <c r="F211" s="892"/>
      <c r="G211" s="878"/>
      <c r="H211" s="17"/>
      <c r="I211" s="79"/>
      <c r="J211" s="595"/>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25">
      <c r="A212" s="108">
        <v>512</v>
      </c>
      <c r="B212" s="579"/>
      <c r="C212" s="848" t="s">
        <v>165</v>
      </c>
      <c r="D212" s="24" t="s">
        <v>1232</v>
      </c>
      <c r="E212" s="687" t="e">
        <f>HLOOKUP($D$2,'2020 Data(H)'!$C$1:$CZ$426,162,FALSE)</f>
        <v>#N/A</v>
      </c>
      <c r="F212" s="293">
        <v>0</v>
      </c>
      <c r="G212" s="748">
        <f>IF(F212&lt;0,"Error: Enter as positive.",)</f>
        <v>0</v>
      </c>
      <c r="H212" s="17"/>
      <c r="I212" s="79"/>
      <c r="J212" s="595"/>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25">
      <c r="A213" s="108"/>
      <c r="B213" s="883" t="s">
        <v>540</v>
      </c>
      <c r="C213" s="884"/>
      <c r="D213" s="886"/>
      <c r="E213" s="893"/>
      <c r="F213" s="892"/>
      <c r="G213" s="878"/>
      <c r="H213" s="749"/>
      <c r="I213" s="750"/>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25">
      <c r="A214" s="313">
        <v>656</v>
      </c>
      <c r="B214" s="313"/>
      <c r="C214" s="313"/>
      <c r="D214" s="774" t="s">
        <v>541</v>
      </c>
      <c r="E214" s="687" t="e">
        <f>HLOOKUP($D$2,'2020 Data(H)'!$C$1:$CZ$426,309,FALSE)</f>
        <v>#N/A</v>
      </c>
      <c r="F214" s="293">
        <v>0</v>
      </c>
      <c r="G214" s="748"/>
      <c r="H214" s="17"/>
      <c r="I214" s="79"/>
      <c r="J214" s="595"/>
      <c r="Z214" s="313"/>
      <c r="AA214" s="313"/>
      <c r="AB214" s="313"/>
      <c r="AC214" s="313"/>
      <c r="AD214" s="313"/>
      <c r="AE214" s="313"/>
      <c r="AF214" s="313"/>
      <c r="AG214" s="313"/>
      <c r="AH214" s="313"/>
      <c r="AI214" s="313"/>
      <c r="AJ214" s="313"/>
      <c r="AK214" s="313"/>
      <c r="AL214" s="313"/>
      <c r="AM214" s="313"/>
      <c r="AN214" s="313"/>
      <c r="AO214" s="313"/>
      <c r="AP214" s="313"/>
      <c r="AQ214" s="313"/>
      <c r="AR214" s="313"/>
    </row>
    <row r="215" spans="1:44" x14ac:dyDescent="0.25">
      <c r="A215" s="108"/>
      <c r="B215" s="883" t="s">
        <v>324</v>
      </c>
      <c r="C215" s="884"/>
      <c r="D215" s="886"/>
      <c r="E215" s="893"/>
      <c r="F215" s="892"/>
      <c r="G215" s="878"/>
      <c r="H215" s="749"/>
      <c r="I215" s="750"/>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customHeight="1" x14ac:dyDescent="0.25">
      <c r="A216" s="108">
        <v>535</v>
      </c>
      <c r="B216" s="689" t="s">
        <v>55</v>
      </c>
      <c r="C216" s="689" t="s">
        <v>166</v>
      </c>
      <c r="D216" s="24" t="s">
        <v>1233</v>
      </c>
      <c r="E216" s="687" t="e">
        <f>HLOOKUP($D$2,'2020 Data(H)'!$C$1:$CZ$426,185,FALSE)</f>
        <v>#N/A</v>
      </c>
      <c r="F216" s="293">
        <v>0</v>
      </c>
      <c r="G216" s="748" t="str">
        <f>IF(F216&lt;1,"Reminder: Please make sure you have entered all cash and investments from bond/Debt proceeds, if applicable.",)</f>
        <v>Reminder: Please make sure you have entered all cash and investments from bond/Debt proceeds, if applicable.</v>
      </c>
      <c r="H216" s="749"/>
      <c r="I216" s="750"/>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x14ac:dyDescent="0.25">
      <c r="A217" s="108"/>
      <c r="B217" s="883" t="s">
        <v>29</v>
      </c>
      <c r="C217" s="884"/>
      <c r="D217" s="860"/>
      <c r="E217" s="860"/>
      <c r="F217" s="889"/>
      <c r="G217" s="880"/>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x14ac:dyDescent="0.25">
      <c r="A218" s="108"/>
      <c r="B218" s="579"/>
      <c r="C218" s="579"/>
      <c r="D218" s="775" t="s">
        <v>2</v>
      </c>
      <c r="E218" s="1"/>
      <c r="F218" s="162"/>
      <c r="G218" s="758"/>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customHeight="1" x14ac:dyDescent="0.25">
      <c r="A219" s="108"/>
      <c r="B219" s="579"/>
      <c r="C219" s="579"/>
      <c r="D219" s="688" t="s">
        <v>1234</v>
      </c>
      <c r="E219" s="1"/>
      <c r="F219" s="162"/>
      <c r="G219" s="758"/>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customHeight="1" x14ac:dyDescent="0.25">
      <c r="A220" s="108">
        <v>334</v>
      </c>
      <c r="B220" s="4" t="s">
        <v>56</v>
      </c>
      <c r="C220" s="4" t="s">
        <v>173</v>
      </c>
      <c r="D220" s="24" t="s">
        <v>1235</v>
      </c>
      <c r="E220" s="687" t="e">
        <f>HLOOKUP($D$2,'2020 Data(H)'!$C$1:$CZ$426,100,FALSE)</f>
        <v>#N/A</v>
      </c>
      <c r="F220" s="293">
        <v>0</v>
      </c>
      <c r="G220" s="758"/>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customHeight="1" x14ac:dyDescent="0.25">
      <c r="A221" s="108">
        <v>373</v>
      </c>
      <c r="B221" s="4" t="s">
        <v>56</v>
      </c>
      <c r="C221" s="4" t="s">
        <v>173</v>
      </c>
      <c r="D221" s="29" t="s">
        <v>172</v>
      </c>
      <c r="E221" s="687" t="e">
        <f>HLOOKUP($D$2,'2020 Data(H)'!$C$1:$CZ$426,133,FALSE)</f>
        <v>#N/A</v>
      </c>
      <c r="F221" s="293">
        <v>0</v>
      </c>
      <c r="G221" s="748">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25">
      <c r="A222" s="108">
        <v>987</v>
      </c>
      <c r="B222" s="847" t="s">
        <v>777</v>
      </c>
      <c r="C222" s="847"/>
      <c r="D222" s="776" t="s">
        <v>1036</v>
      </c>
      <c r="E222" s="687" t="s">
        <v>778</v>
      </c>
      <c r="F222" s="293">
        <v>0</v>
      </c>
      <c r="G222" s="777" t="str">
        <f>IF(F222="","If this question is not applicable please place a zero in the cell to the left","")</f>
        <v/>
      </c>
      <c r="H222" s="727"/>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25">
      <c r="A223" s="108">
        <v>988</v>
      </c>
      <c r="B223" s="847" t="s">
        <v>777</v>
      </c>
      <c r="C223" s="847"/>
      <c r="D223" s="776" t="s">
        <v>1033</v>
      </c>
      <c r="E223" s="687" t="s">
        <v>778</v>
      </c>
      <c r="F223" s="293"/>
      <c r="G223" s="748"/>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25">
      <c r="A224" s="108">
        <v>989</v>
      </c>
      <c r="B224" s="847" t="s">
        <v>777</v>
      </c>
      <c r="C224" s="847"/>
      <c r="D224" s="776" t="s">
        <v>1290</v>
      </c>
      <c r="E224" s="687" t="s">
        <v>807</v>
      </c>
      <c r="F224" s="293"/>
      <c r="G224" s="748"/>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25">
      <c r="A225" s="108"/>
      <c r="B225" s="894"/>
      <c r="C225" s="894"/>
      <c r="D225" s="895"/>
      <c r="E225" s="896"/>
      <c r="F225" s="897"/>
      <c r="G225" s="898"/>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25">
      <c r="A226" s="108"/>
      <c r="B226" s="579"/>
      <c r="C226" s="579"/>
      <c r="D226" s="778" t="s">
        <v>1236</v>
      </c>
      <c r="E226" s="1"/>
      <c r="F226" s="381"/>
      <c r="G226" s="758"/>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25">
      <c r="A227" s="108"/>
      <c r="B227" s="579"/>
      <c r="C227" s="579"/>
      <c r="D227" s="24" t="s">
        <v>1237</v>
      </c>
      <c r="E227" s="1"/>
      <c r="F227" s="381"/>
      <c r="G227" s="758"/>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25">
      <c r="A228" s="108">
        <v>327</v>
      </c>
      <c r="B228" s="689" t="s">
        <v>37</v>
      </c>
      <c r="C228" s="689" t="s">
        <v>174</v>
      </c>
      <c r="D228" s="779" t="s">
        <v>1238</v>
      </c>
      <c r="E228" s="687" t="e">
        <f>HLOOKUP($D$2,'2020 Data(H)'!$C$1:$CZ$426,94,FALSE)</f>
        <v>#N/A</v>
      </c>
      <c r="F228" s="272">
        <v>0</v>
      </c>
      <c r="G228" s="758"/>
      <c r="H228" s="17"/>
      <c r="I228" s="750"/>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25">
      <c r="A229" s="108">
        <v>328</v>
      </c>
      <c r="B229" s="689" t="s">
        <v>37</v>
      </c>
      <c r="C229" s="689" t="s">
        <v>174</v>
      </c>
      <c r="D229" s="30" t="s">
        <v>7</v>
      </c>
      <c r="E229" s="687" t="e">
        <f>HLOOKUP($D$2,'2020 Data(H)'!$C$1:$CZ$426,95,FALSE)</f>
        <v>#N/A</v>
      </c>
      <c r="F229" s="272">
        <v>0</v>
      </c>
      <c r="G229" s="758"/>
      <c r="H229" s="17"/>
      <c r="I229" s="750"/>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25">
      <c r="A230" s="108"/>
      <c r="B230" s="579"/>
      <c r="C230" s="579"/>
      <c r="D230" s="31" t="s">
        <v>1239</v>
      </c>
      <c r="E230" s="101" t="e">
        <f>SUM(E228:E229)</f>
        <v>#N/A</v>
      </c>
      <c r="F230" s="101">
        <f>SUM(F228:F229)</f>
        <v>0</v>
      </c>
      <c r="G230" s="758"/>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30" hidden="1" x14ac:dyDescent="0.25">
      <c r="A231" s="108"/>
      <c r="B231" s="579"/>
      <c r="C231" s="579"/>
      <c r="D231" s="24" t="s">
        <v>1240</v>
      </c>
      <c r="E231" s="1"/>
      <c r="F231" s="381"/>
      <c r="G231" s="758"/>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25">
      <c r="A232" s="108"/>
      <c r="B232" s="579"/>
      <c r="C232" s="579"/>
      <c r="D232" s="28" t="s">
        <v>9</v>
      </c>
      <c r="F232" s="780"/>
      <c r="G232" s="758"/>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25">
      <c r="A233" s="108">
        <v>515</v>
      </c>
      <c r="B233" s="689" t="s">
        <v>320</v>
      </c>
      <c r="C233" s="689" t="s">
        <v>175</v>
      </c>
      <c r="D233" s="32" t="s">
        <v>3</v>
      </c>
      <c r="E233" s="687" t="e">
        <f>HLOOKUP($D$2,'2020 Data(H)'!$C$1:$CZ$426,165,FALSE)</f>
        <v>#N/A</v>
      </c>
      <c r="F233" s="293">
        <v>0</v>
      </c>
      <c r="G233" s="748"/>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25">
      <c r="A234" s="108">
        <v>516</v>
      </c>
      <c r="B234" s="689" t="s">
        <v>320</v>
      </c>
      <c r="C234" s="689" t="s">
        <v>175</v>
      </c>
      <c r="D234" s="32" t="s">
        <v>4</v>
      </c>
      <c r="E234" s="687" t="e">
        <f>HLOOKUP($D$2,'2020 Data(H)'!$C$1:$CZ$426,166,FALSE)</f>
        <v>#N/A</v>
      </c>
      <c r="F234" s="293">
        <v>0</v>
      </c>
      <c r="G234" s="748"/>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25">
      <c r="A235" s="108">
        <v>517</v>
      </c>
      <c r="B235" s="689" t="s">
        <v>320</v>
      </c>
      <c r="C235" s="689" t="s">
        <v>175</v>
      </c>
      <c r="D235" s="32" t="s">
        <v>5</v>
      </c>
      <c r="E235" s="687" t="e">
        <f>HLOOKUP($D$2,'2020 Data(H)'!$C$1:$CZ$426,167,FALSE)</f>
        <v>#N/A</v>
      </c>
      <c r="F235" s="293">
        <v>0</v>
      </c>
      <c r="G235" s="748"/>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25">
      <c r="A236" s="108">
        <v>518</v>
      </c>
      <c r="B236" s="689" t="s">
        <v>320</v>
      </c>
      <c r="C236" s="689" t="s">
        <v>175</v>
      </c>
      <c r="D236" s="32" t="s">
        <v>39</v>
      </c>
      <c r="E236" s="687" t="e">
        <f>HLOOKUP($D$2,'2020 Data(H)'!$C$1:$CZ$426,168,FALSE)</f>
        <v>#N/A</v>
      </c>
      <c r="F236" s="293">
        <v>0</v>
      </c>
      <c r="G236" s="748"/>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25">
      <c r="A237" s="302"/>
      <c r="B237" s="579"/>
      <c r="C237" s="579"/>
      <c r="D237" s="781" t="s">
        <v>1241</v>
      </c>
      <c r="E237" s="101" t="e">
        <f>SUM(E233:E236)</f>
        <v>#N/A</v>
      </c>
      <c r="F237" s="101">
        <f>SUM(F233:F236)</f>
        <v>0</v>
      </c>
      <c r="G237" s="758"/>
      <c r="H237" s="17"/>
      <c r="I237" s="79"/>
      <c r="Z237" s="302"/>
      <c r="AA237" s="302"/>
      <c r="AB237" s="302"/>
      <c r="AC237" s="302"/>
      <c r="AD237" s="302"/>
      <c r="AE237" s="302"/>
      <c r="AF237" s="302"/>
      <c r="AG237" s="302"/>
      <c r="AH237" s="302"/>
      <c r="AI237" s="302"/>
      <c r="AJ237" s="302"/>
      <c r="AK237" s="302"/>
      <c r="AL237" s="302"/>
      <c r="AM237" s="302"/>
      <c r="AN237" s="302"/>
      <c r="AO237" s="302"/>
      <c r="AP237" s="302"/>
      <c r="AQ237" s="302"/>
      <c r="AR237" s="302"/>
    </row>
    <row r="238" spans="1:44" ht="30.75" hidden="1" customHeight="1" x14ac:dyDescent="0.25">
      <c r="A238" s="108"/>
      <c r="B238" s="579"/>
      <c r="C238" s="579"/>
      <c r="D238" s="28" t="s">
        <v>48</v>
      </c>
      <c r="E238" s="1"/>
      <c r="F238" s="381"/>
      <c r="G238" s="758"/>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25">
      <c r="A239" s="108">
        <v>519</v>
      </c>
      <c r="B239" s="689" t="s">
        <v>37</v>
      </c>
      <c r="C239" s="689" t="s">
        <v>176</v>
      </c>
      <c r="D239" s="32" t="s">
        <v>14</v>
      </c>
      <c r="E239" s="687" t="e">
        <f>HLOOKUP($D$2,'2020 Data(H)'!$C$1:$CZ$426,169,FALSE)</f>
        <v>#N/A</v>
      </c>
      <c r="F239" s="293">
        <v>0</v>
      </c>
      <c r="G239" s="748">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25">
      <c r="A240" s="108">
        <v>520</v>
      </c>
      <c r="B240" s="689" t="s">
        <v>37</v>
      </c>
      <c r="C240" s="689" t="s">
        <v>176</v>
      </c>
      <c r="D240" s="32" t="s">
        <v>16</v>
      </c>
      <c r="E240" s="687" t="e">
        <f>HLOOKUP($D$2,'2020 Data(H)'!$C$1:$CZ$426,170,FALSE)</f>
        <v>#N/A</v>
      </c>
      <c r="F240" s="293">
        <v>0</v>
      </c>
      <c r="G240" s="748">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25">
      <c r="A241" s="108">
        <v>521</v>
      </c>
      <c r="B241" s="689" t="s">
        <v>37</v>
      </c>
      <c r="C241" s="689" t="s">
        <v>176</v>
      </c>
      <c r="D241" s="32" t="s">
        <v>18</v>
      </c>
      <c r="E241" s="687" t="e">
        <f>HLOOKUP($D$2,'2020 Data(H)'!$C$1:$CZ$426,171,FALSE)</f>
        <v>#N/A</v>
      </c>
      <c r="F241" s="293">
        <v>0</v>
      </c>
      <c r="G241" s="748">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25">
      <c r="A242" s="108">
        <v>522</v>
      </c>
      <c r="B242" s="689" t="s">
        <v>37</v>
      </c>
      <c r="C242" s="689" t="s">
        <v>176</v>
      </c>
      <c r="D242" s="32" t="s">
        <v>40</v>
      </c>
      <c r="E242" s="687" t="e">
        <f>HLOOKUP($D$2,'2020 Data(H)'!$C$1:$CZ$426,172,FALSE)</f>
        <v>#N/A</v>
      </c>
      <c r="F242" s="293">
        <v>0</v>
      </c>
      <c r="G242" s="748">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25">
      <c r="A243" s="6"/>
      <c r="B243" s="579"/>
      <c r="C243" s="579"/>
      <c r="D243" s="782"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25">
      <c r="A244" s="6"/>
      <c r="B244" s="579"/>
      <c r="C244" s="579"/>
      <c r="D244" s="28" t="s">
        <v>32</v>
      </c>
      <c r="E244" s="6"/>
      <c r="F244" s="783"/>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25">
      <c r="A245" s="108">
        <v>523</v>
      </c>
      <c r="B245" s="689" t="s">
        <v>320</v>
      </c>
      <c r="C245" s="689" t="s">
        <v>177</v>
      </c>
      <c r="D245" s="32" t="s">
        <v>15</v>
      </c>
      <c r="E245" s="687" t="e">
        <f>HLOOKUP($D$2,'2020 Data(H)'!$C$1:$CZ$426,173,FALSE)</f>
        <v>#N/A</v>
      </c>
      <c r="F245" s="293">
        <v>0</v>
      </c>
      <c r="G245" s="748">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25">
      <c r="A246" s="108">
        <v>524</v>
      </c>
      <c r="B246" s="689" t="s">
        <v>320</v>
      </c>
      <c r="C246" s="689" t="s">
        <v>177</v>
      </c>
      <c r="D246" s="32" t="s">
        <v>17</v>
      </c>
      <c r="E246" s="687" t="e">
        <f>HLOOKUP($D$2,'2020 Data(H)'!$C$1:$CZ$426,174,FALSE)</f>
        <v>#N/A</v>
      </c>
      <c r="F246" s="293">
        <v>0</v>
      </c>
      <c r="G246" s="748">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25">
      <c r="A247" s="108">
        <v>525</v>
      </c>
      <c r="B247" s="689" t="s">
        <v>320</v>
      </c>
      <c r="C247" s="689" t="s">
        <v>177</v>
      </c>
      <c r="D247" s="32" t="s">
        <v>19</v>
      </c>
      <c r="E247" s="687" t="e">
        <f>HLOOKUP($D$2,'2020 Data(H)'!$C$1:$CZ$426,175,FALSE)</f>
        <v>#N/A</v>
      </c>
      <c r="F247" s="293">
        <v>0</v>
      </c>
      <c r="G247" s="748">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25">
      <c r="A248" s="108">
        <v>526</v>
      </c>
      <c r="B248" s="689" t="s">
        <v>320</v>
      </c>
      <c r="C248" s="689" t="s">
        <v>177</v>
      </c>
      <c r="D248" s="32" t="s">
        <v>41</v>
      </c>
      <c r="E248" s="687" t="e">
        <f>HLOOKUP($D$2,'2020 Data(H)'!$C$1:$CZ$426,176,FALSE)</f>
        <v>#N/A</v>
      </c>
      <c r="F248" s="293">
        <v>0</v>
      </c>
      <c r="G248" s="748">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25">
      <c r="A249" s="108"/>
      <c r="B249" s="849"/>
      <c r="C249" s="849"/>
      <c r="D249" s="782" t="s">
        <v>33</v>
      </c>
      <c r="E249" s="101" t="e">
        <f>SUM(E245:E248)</f>
        <v>#N/A</v>
      </c>
      <c r="F249" s="101">
        <f>SUM(F245:F248)</f>
        <v>0</v>
      </c>
      <c r="G249" s="758"/>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25">
      <c r="A250" s="108"/>
      <c r="B250" s="849"/>
      <c r="C250" s="849"/>
      <c r="D250" s="784" t="s">
        <v>35</v>
      </c>
      <c r="E250" s="101" t="e">
        <f>E230+E237-E249</f>
        <v>#N/A</v>
      </c>
      <c r="F250" s="101">
        <f>F230+F237-F249</f>
        <v>0</v>
      </c>
      <c r="G250" s="758"/>
      <c r="H250" s="17"/>
      <c r="I250" s="79"/>
      <c r="J250" s="595"/>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25">
      <c r="A251" s="108"/>
      <c r="B251" s="579"/>
      <c r="C251" s="579"/>
      <c r="D251" s="775"/>
      <c r="E251" s="1"/>
      <c r="F251" s="381"/>
      <c r="G251" s="758"/>
      <c r="H251" s="17"/>
      <c r="I251" s="79"/>
      <c r="J251" s="595"/>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25">
      <c r="A252" s="108"/>
      <c r="B252" s="894"/>
      <c r="C252" s="894"/>
      <c r="D252" s="885" t="s">
        <v>8</v>
      </c>
      <c r="E252" s="896"/>
      <c r="F252" s="897"/>
      <c r="G252" s="898"/>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25">
      <c r="A253" s="108">
        <v>527</v>
      </c>
      <c r="B253" s="689" t="s">
        <v>58</v>
      </c>
      <c r="C253" s="689" t="s">
        <v>178</v>
      </c>
      <c r="D253" s="29" t="s">
        <v>1242</v>
      </c>
      <c r="E253" s="687" t="e">
        <f>HLOOKUP($D$2,'2020 Data(H)'!$C$1:$CZ$426,177,FALSE)</f>
        <v>#N/A</v>
      </c>
      <c r="F253" s="293">
        <v>0</v>
      </c>
      <c r="G253" s="758"/>
      <c r="H253" s="17"/>
      <c r="I253" s="750"/>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25">
      <c r="A254" s="108">
        <v>356</v>
      </c>
      <c r="B254" s="689" t="s">
        <v>66</v>
      </c>
      <c r="C254" s="689" t="s">
        <v>178</v>
      </c>
      <c r="D254" s="107" t="s">
        <v>20</v>
      </c>
      <c r="E254" s="687" t="e">
        <f>HLOOKUP($D$2,'2020 Data(H)'!$C$1:$CZ$426,118,FALSE)</f>
        <v>#N/A</v>
      </c>
      <c r="F254" s="293">
        <v>0</v>
      </c>
      <c r="G254" s="758"/>
      <c r="H254" s="17"/>
      <c r="I254" s="750"/>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25">
      <c r="A255" s="108">
        <v>357</v>
      </c>
      <c r="B255" s="689" t="s">
        <v>56</v>
      </c>
      <c r="C255" s="689" t="s">
        <v>179</v>
      </c>
      <c r="D255" s="107" t="s">
        <v>21</v>
      </c>
      <c r="E255" s="687" t="e">
        <f>HLOOKUP($D$2,'2020 Data(H)'!$C$1:$CZ$426,119,FALSE)</f>
        <v>#N/A</v>
      </c>
      <c r="F255" s="293">
        <v>0</v>
      </c>
      <c r="G255" s="748">
        <f>IF(F255&lt;0,"Error: Enter as positive.",)</f>
        <v>0</v>
      </c>
      <c r="H255" s="17"/>
      <c r="I255" s="750"/>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25">
      <c r="A256" s="108"/>
      <c r="B256" s="883" t="s">
        <v>10</v>
      </c>
      <c r="C256" s="884"/>
      <c r="D256" s="859"/>
      <c r="E256" s="860"/>
      <c r="F256" s="899"/>
      <c r="G256" s="880"/>
      <c r="H256" s="17"/>
      <c r="I256" s="79"/>
      <c r="N256" s="295"/>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25">
      <c r="A257" s="108">
        <v>337</v>
      </c>
      <c r="B257" s="4" t="s">
        <v>56</v>
      </c>
      <c r="C257" s="4" t="s">
        <v>1243</v>
      </c>
      <c r="D257" s="24" t="s">
        <v>1038</v>
      </c>
      <c r="E257" s="687" t="e">
        <f>HLOOKUP($D$2,'2020 Data(H)'!$C$1:$CZ$426,103,FALSE)</f>
        <v>#N/A</v>
      </c>
      <c r="F257" s="293">
        <v>0</v>
      </c>
      <c r="G257" s="748">
        <f>IF(F257&lt;0,"Error: Enter as positive.",)</f>
        <v>0</v>
      </c>
      <c r="H257" s="17"/>
      <c r="I257" s="79"/>
      <c r="N257" s="295"/>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25">
      <c r="A258" s="108">
        <v>343</v>
      </c>
      <c r="B258" s="4" t="s">
        <v>56</v>
      </c>
      <c r="C258" s="4" t="s">
        <v>415</v>
      </c>
      <c r="D258" s="29" t="s">
        <v>1244</v>
      </c>
      <c r="E258" s="687" t="e">
        <f>HLOOKUP($D$2,'2020 Data(H)'!$C$1:$CZ$426,109,FALSE)</f>
        <v>#N/A</v>
      </c>
      <c r="F258" s="293">
        <v>0</v>
      </c>
      <c r="G258" s="748">
        <f>IF(F258&lt;0,"Error: Enter as positive.",)</f>
        <v>0</v>
      </c>
      <c r="H258" s="17"/>
      <c r="I258" s="79"/>
      <c r="M258" s="98"/>
      <c r="N258" s="295"/>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25">
      <c r="A259" s="108">
        <v>82</v>
      </c>
      <c r="B259" s="4" t="s">
        <v>61</v>
      </c>
      <c r="C259" s="4" t="s">
        <v>1245</v>
      </c>
      <c r="D259" s="24" t="s">
        <v>592</v>
      </c>
      <c r="E259" s="687" t="e">
        <f>HLOOKUP($D$2,'2020 Data(H)'!$C$1:$CZ$426,46,FALSE)</f>
        <v>#N/A</v>
      </c>
      <c r="F259" s="293">
        <v>0</v>
      </c>
      <c r="G259" s="748">
        <f>IF(F259&lt;0,"Error: Enter as positive.",)</f>
        <v>0</v>
      </c>
      <c r="H259" s="17"/>
      <c r="I259" s="785"/>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25">
      <c r="A260" s="108">
        <v>359</v>
      </c>
      <c r="B260" s="4" t="s">
        <v>56</v>
      </c>
      <c r="C260" s="4" t="s">
        <v>1246</v>
      </c>
      <c r="D260" s="24" t="s">
        <v>592</v>
      </c>
      <c r="E260" s="687" t="e">
        <f>HLOOKUP($D$2,'2020 Data(H)'!$C$1:$CZ$426,120,FALSE)</f>
        <v>#N/A</v>
      </c>
      <c r="F260" s="293">
        <v>0</v>
      </c>
      <c r="G260" s="748">
        <f>IF(F260&lt;0,"Error: Enter as positive.",)</f>
        <v>0</v>
      </c>
      <c r="H260" s="17"/>
      <c r="I260" s="785"/>
      <c r="J260" s="595"/>
      <c r="L260" s="786"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88" customFormat="1" ht="33" customHeight="1" x14ac:dyDescent="0.25">
      <c r="A261" s="108"/>
      <c r="B261" s="845" t="s">
        <v>447</v>
      </c>
      <c r="C261" s="846"/>
      <c r="D261" s="96"/>
      <c r="E261" s="787"/>
      <c r="F261" s="773"/>
      <c r="G261" s="747"/>
      <c r="H261" s="17"/>
      <c r="I261" s="785"/>
      <c r="J261" s="18"/>
      <c r="K261" s="18"/>
      <c r="L261" s="18"/>
      <c r="M261" s="18"/>
      <c r="N261" s="295"/>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88" customFormat="1" ht="110.25" customHeight="1" x14ac:dyDescent="0.25">
      <c r="A262" s="124">
        <v>622</v>
      </c>
      <c r="B262" s="789" t="s">
        <v>372</v>
      </c>
      <c r="C262" s="124" t="s">
        <v>446</v>
      </c>
      <c r="D262" s="124" t="s">
        <v>1139</v>
      </c>
      <c r="E262" s="687" t="e">
        <f>HLOOKUP($D$2,'2020 Data(H)'!$C$1:$CZ$426,282,FALSE)</f>
        <v>#N/A</v>
      </c>
      <c r="F262" s="293">
        <v>0</v>
      </c>
      <c r="G262" s="748"/>
      <c r="H262" s="17"/>
      <c r="I262" s="785"/>
      <c r="J262" s="18"/>
      <c r="K262" s="18"/>
      <c r="L262" s="18"/>
      <c r="M262" s="18"/>
      <c r="N262" s="295"/>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88" customFormat="1" ht="225" customHeight="1" x14ac:dyDescent="0.25">
      <c r="A263" s="108">
        <v>577</v>
      </c>
      <c r="B263" s="689"/>
      <c r="C263" s="689" t="s">
        <v>337</v>
      </c>
      <c r="D263" s="358" t="s">
        <v>412</v>
      </c>
      <c r="E263" s="1142"/>
      <c r="F263" s="293"/>
      <c r="G263" s="293" t="str">
        <f>IF(F263="Yes","In this cell - Please include the name of the plan, a brief description of the benefit and the population group that received the benefits."," ")</f>
        <v xml:space="preserve"> </v>
      </c>
      <c r="H263" s="17"/>
      <c r="I263" s="785"/>
      <c r="J263" s="595"/>
      <c r="K263" s="18"/>
      <c r="L263" s="18"/>
      <c r="M263" s="18"/>
      <c r="N263" s="295"/>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88" customFormat="1" ht="30.75" customHeight="1" x14ac:dyDescent="0.25">
      <c r="A264" s="108"/>
      <c r="B264" s="845" t="s">
        <v>322</v>
      </c>
      <c r="C264" s="846"/>
      <c r="D264" s="96"/>
      <c r="E264" s="787"/>
      <c r="F264" s="790"/>
      <c r="G264" s="747"/>
      <c r="H264" s="17"/>
      <c r="I264" s="79"/>
      <c r="J264" s="18"/>
      <c r="K264" s="18"/>
      <c r="L264" s="18"/>
      <c r="M264" s="18"/>
      <c r="N264" s="295"/>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88" customFormat="1" ht="81.75" customHeight="1" x14ac:dyDescent="0.25">
      <c r="A265" s="108">
        <v>598</v>
      </c>
      <c r="B265" s="689" t="s">
        <v>59</v>
      </c>
      <c r="C265" s="689" t="s">
        <v>323</v>
      </c>
      <c r="D265" s="726" t="s">
        <v>416</v>
      </c>
      <c r="E265" s="687" t="e">
        <f>HLOOKUP($D$2,'2020 Data(H)'!$C$1:$CZ$426,258,FALSE)</f>
        <v>#N/A</v>
      </c>
      <c r="F265" s="293">
        <v>0</v>
      </c>
      <c r="G265" s="748">
        <f>IF(F265&lt;0,"Error: Enter as positive.",)</f>
        <v>0</v>
      </c>
      <c r="H265" s="748"/>
      <c r="I265" s="785"/>
      <c r="J265" s="595"/>
      <c r="K265" s="18"/>
      <c r="L265" s="18"/>
      <c r="M265" s="18"/>
      <c r="N265" s="295"/>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88" customFormat="1" ht="53.25" customHeight="1" x14ac:dyDescent="0.25">
      <c r="A266" s="108">
        <v>599</v>
      </c>
      <c r="B266" s="689" t="s">
        <v>59</v>
      </c>
      <c r="C266" s="689" t="s">
        <v>323</v>
      </c>
      <c r="D266" s="29" t="s">
        <v>417</v>
      </c>
      <c r="E266" s="687" t="e">
        <f>HLOOKUP($D$2,'2020 Data(H)'!$C$1:$CZ$426,259,FALSE)</f>
        <v>#N/A</v>
      </c>
      <c r="F266" s="293">
        <v>0</v>
      </c>
      <c r="G266" s="792" t="str">
        <f>IF(ISBLANK(F266),"Please do not leave blank","")</f>
        <v/>
      </c>
      <c r="H266" s="748">
        <f>IF(F266&lt;0,"Error: Enter as positive.",)</f>
        <v>0</v>
      </c>
      <c r="I266" s="79"/>
      <c r="J266" s="786"/>
      <c r="K266" s="18"/>
      <c r="L266" s="18"/>
      <c r="M266" s="18"/>
      <c r="N266" s="295"/>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88" customFormat="1" ht="78.75" customHeight="1" x14ac:dyDescent="0.25">
      <c r="A267" s="108">
        <v>602</v>
      </c>
      <c r="B267" s="689" t="s">
        <v>59</v>
      </c>
      <c r="C267" s="689" t="s">
        <v>323</v>
      </c>
      <c r="D267" s="107" t="s">
        <v>422</v>
      </c>
      <c r="E267" s="687" t="e">
        <f>HLOOKUP($D$2,'2020 Data(H)'!$C$1:$CZ$426,262,FALSE)</f>
        <v>#N/A</v>
      </c>
      <c r="F267" s="293">
        <v>0</v>
      </c>
      <c r="G267" s="792" t="str">
        <f>IF(ISBLANK(F267),"Please do not leave blank","")</f>
        <v/>
      </c>
      <c r="H267" s="748">
        <f>IF(F267&lt;0,"Note: Number is normally positive.",)</f>
        <v>0</v>
      </c>
      <c r="I267" s="79"/>
      <c r="J267" s="595"/>
      <c r="K267" s="18"/>
      <c r="L267" s="18"/>
      <c r="M267" s="18"/>
      <c r="N267" s="295"/>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88" customFormat="1" ht="90" customHeight="1" x14ac:dyDescent="0.25">
      <c r="A268" s="108">
        <v>619</v>
      </c>
      <c r="B268" s="689" t="s">
        <v>59</v>
      </c>
      <c r="C268" s="689" t="s">
        <v>437</v>
      </c>
      <c r="D268" s="94" t="s">
        <v>442</v>
      </c>
      <c r="E268" s="35" t="e">
        <f>HLOOKUP($D$2,'2020 Data(H)'!$C$1:$CZ$426,279,FALSE)</f>
        <v>#N/A</v>
      </c>
      <c r="F268" s="918">
        <v>0</v>
      </c>
      <c r="G268" s="792" t="str">
        <f>IF(ISBLANK(F268),"Please do not leave blank ",IF(F268=H268,"","Please review percentage"))</f>
        <v/>
      </c>
      <c r="H268" s="793">
        <f>ROUND(IFERROR((F267/F266)*100,0),1)</f>
        <v>0</v>
      </c>
      <c r="I268" s="295"/>
      <c r="J268" s="18"/>
      <c r="K268" s="18"/>
      <c r="L268" s="18"/>
      <c r="M268" s="18"/>
      <c r="N268" s="295"/>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25">
      <c r="A269" s="108"/>
      <c r="B269" s="883" t="s">
        <v>25</v>
      </c>
      <c r="C269" s="884"/>
      <c r="D269" s="886"/>
      <c r="E269" s="900"/>
      <c r="F269" s="901"/>
      <c r="G269" s="868"/>
      <c r="H269" s="17"/>
      <c r="I269" s="79"/>
      <c r="J269" s="595"/>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hidden="1" customHeight="1" x14ac:dyDescent="0.25">
      <c r="A270" s="125">
        <v>621</v>
      </c>
      <c r="B270" s="125" t="s">
        <v>372</v>
      </c>
      <c r="C270" s="124" t="s">
        <v>449</v>
      </c>
      <c r="D270" s="124" t="s">
        <v>1140</v>
      </c>
      <c r="E270" s="687" t="e">
        <f>HLOOKUP($D$2,'2020 Data(H)'!$C$1:$CZ$426,281,FALSE)</f>
        <v>#N/A</v>
      </c>
      <c r="F270" s="293">
        <v>0</v>
      </c>
      <c r="G270" s="792" t="s">
        <v>1141</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25">
      <c r="A271" s="108">
        <v>547</v>
      </c>
      <c r="B271" s="689"/>
      <c r="C271" s="689" t="s">
        <v>167</v>
      </c>
      <c r="D271" s="686" t="s">
        <v>326</v>
      </c>
      <c r="E271" s="687" t="e">
        <f>HLOOKUP($D$2,'2020 Data(H)'!$C$1:$CZ$426,197,FALSE)</f>
        <v>#N/A</v>
      </c>
      <c r="F271" s="756"/>
      <c r="G271" s="791" t="str">
        <f>IF(F271&lt;1,"Please answer this question","")</f>
        <v>Please answer this question</v>
      </c>
      <c r="H271" s="749"/>
      <c r="I271" s="750"/>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25">
      <c r="A272" s="313">
        <v>659</v>
      </c>
      <c r="B272" s="843" t="s">
        <v>59</v>
      </c>
      <c r="C272" s="843" t="s">
        <v>432</v>
      </c>
      <c r="D272" s="316" t="s">
        <v>1142</v>
      </c>
      <c r="E272" s="687" t="e">
        <f>HLOOKUP($D$2,'2020 Data(H)'!$C$1:$CZ$426,312,FALSE)</f>
        <v>#N/A</v>
      </c>
      <c r="F272" s="294">
        <v>0</v>
      </c>
      <c r="G272" s="792" t="s">
        <v>1143</v>
      </c>
      <c r="H272" s="748"/>
      <c r="I272" s="380"/>
      <c r="N272" s="295"/>
      <c r="Z272" s="313"/>
      <c r="AA272" s="313"/>
      <c r="AB272" s="313"/>
      <c r="AC272" s="313"/>
      <c r="AD272" s="313"/>
      <c r="AE272" s="313"/>
      <c r="AF272" s="313"/>
      <c r="AG272" s="313"/>
      <c r="AH272" s="313"/>
      <c r="AI272" s="313"/>
      <c r="AJ272" s="313"/>
      <c r="AK272" s="313"/>
      <c r="AL272" s="313"/>
      <c r="AM272" s="313"/>
      <c r="AN272" s="313"/>
      <c r="AO272" s="313"/>
      <c r="AP272" s="313"/>
      <c r="AQ272" s="313"/>
      <c r="AR272" s="313"/>
    </row>
    <row r="273" spans="1:44" ht="65.25" customHeight="1" x14ac:dyDescent="0.25">
      <c r="A273" s="313">
        <v>660</v>
      </c>
      <c r="B273" s="843" t="s">
        <v>59</v>
      </c>
      <c r="C273" s="843" t="s">
        <v>432</v>
      </c>
      <c r="D273" s="316" t="s">
        <v>1144</v>
      </c>
      <c r="E273" s="687" t="e">
        <f>HLOOKUP($D$2,'2020 Data(H)'!$C$1:$CZ$426,313,FALSE)</f>
        <v>#N/A</v>
      </c>
      <c r="F273" s="294">
        <v>0</v>
      </c>
      <c r="G273" s="792" t="str">
        <f>IF(ISBLANK(F273),"Please do not leave blank","")</f>
        <v/>
      </c>
      <c r="H273" s="748">
        <f>IF(F270&lt;0,"Note: Number is normally positive.",)</f>
        <v>0</v>
      </c>
      <c r="I273" s="17"/>
      <c r="Z273" s="313"/>
      <c r="AA273" s="313"/>
      <c r="AB273" s="313"/>
      <c r="AC273" s="313"/>
      <c r="AD273" s="313"/>
      <c r="AE273" s="313"/>
      <c r="AF273" s="313"/>
      <c r="AG273" s="313"/>
      <c r="AH273" s="313"/>
      <c r="AI273" s="313"/>
      <c r="AJ273" s="313"/>
      <c r="AK273" s="313"/>
      <c r="AL273" s="313"/>
      <c r="AM273" s="313"/>
      <c r="AN273" s="313"/>
      <c r="AO273" s="313"/>
      <c r="AP273" s="313"/>
      <c r="AQ273" s="313"/>
      <c r="AR273" s="313"/>
    </row>
    <row r="274" spans="1:44" ht="94.5" customHeight="1" x14ac:dyDescent="0.25">
      <c r="A274" s="313">
        <v>661</v>
      </c>
      <c r="B274" s="843" t="s">
        <v>59</v>
      </c>
      <c r="C274" s="843" t="s">
        <v>436</v>
      </c>
      <c r="D274" s="656" t="s">
        <v>1145</v>
      </c>
      <c r="E274" s="382" t="e">
        <f>HLOOKUP($D$2,'2020 Data(H)'!$C$1:$CZ$426,314,FALSE)</f>
        <v>#N/A</v>
      </c>
      <c r="F274" s="271">
        <v>0</v>
      </c>
      <c r="G274" s="792" t="str">
        <f>IF(ISBLANK(F274),"Please do not leave blank ",IF(F274=H274,"","Please review percentage"))</f>
        <v/>
      </c>
      <c r="H274" s="793">
        <f>ROUND(IFERROR((F273/F272)*100,0),1)</f>
        <v>0</v>
      </c>
      <c r="I274" s="793"/>
      <c r="Z274" s="313"/>
      <c r="AA274" s="313"/>
      <c r="AB274" s="313"/>
      <c r="AC274" s="313"/>
      <c r="AD274" s="313"/>
      <c r="AE274" s="313"/>
      <c r="AF274" s="313"/>
      <c r="AG274" s="313"/>
      <c r="AH274" s="313"/>
      <c r="AI274" s="313"/>
      <c r="AJ274" s="313"/>
      <c r="AK274" s="313"/>
      <c r="AL274" s="313"/>
      <c r="AM274" s="313"/>
      <c r="AN274" s="313"/>
      <c r="AO274" s="313"/>
      <c r="AP274" s="313"/>
      <c r="AQ274" s="313"/>
      <c r="AR274" s="313"/>
    </row>
    <row r="275" spans="1:44" ht="111.75" customHeight="1" x14ac:dyDescent="0.25">
      <c r="A275" s="108"/>
      <c r="B275" s="689"/>
      <c r="C275" s="689"/>
      <c r="D275" s="27" t="s">
        <v>26</v>
      </c>
      <c r="E275" s="691"/>
      <c r="F275" s="694"/>
      <c r="G275" s="792"/>
      <c r="H275" s="793"/>
      <c r="I275" s="794"/>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25">
      <c r="A276" s="108"/>
      <c r="B276" s="883" t="s">
        <v>27</v>
      </c>
      <c r="C276" s="884"/>
      <c r="D276" s="886"/>
      <c r="E276" s="900"/>
      <c r="F276" s="900"/>
      <c r="G276" s="868"/>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25">
      <c r="A277" s="33">
        <v>371</v>
      </c>
      <c r="B277" s="4" t="s">
        <v>56</v>
      </c>
      <c r="C277" s="4" t="s">
        <v>168</v>
      </c>
      <c r="D277" s="24" t="s">
        <v>1247</v>
      </c>
      <c r="E277" s="687" t="e">
        <f>HLOOKUP($D$2,'2020 Data(H)'!$C$1:$CZ$426,132,FALSE)</f>
        <v>#N/A</v>
      </c>
      <c r="F277" s="294">
        <v>0</v>
      </c>
      <c r="G277" s="748">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25">
      <c r="A278" s="108">
        <v>513</v>
      </c>
      <c r="B278" s="841" t="s">
        <v>58</v>
      </c>
      <c r="C278" s="4" t="s">
        <v>168</v>
      </c>
      <c r="D278" s="24" t="s">
        <v>1248</v>
      </c>
      <c r="E278" s="687" t="e">
        <f>HLOOKUP($D$2,'2020 Data(H)'!$C$1:$CZ$426,163,FALSE)</f>
        <v>#N/A</v>
      </c>
      <c r="F278" s="294">
        <v>0</v>
      </c>
      <c r="G278" s="748">
        <f>IF(F278&lt;0,"Error: Enter as positive.",)</f>
        <v>0</v>
      </c>
      <c r="H278" s="749"/>
      <c r="I278" s="750"/>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25">
      <c r="A279" s="108">
        <v>514</v>
      </c>
      <c r="B279" s="841" t="s">
        <v>58</v>
      </c>
      <c r="C279" s="4" t="s">
        <v>168</v>
      </c>
      <c r="D279" s="24" t="s">
        <v>1249</v>
      </c>
      <c r="E279" s="687" t="e">
        <f>HLOOKUP($D$2,'2020 Data(H)'!$C$1:$CZ$426,164,FALSE)</f>
        <v>#N/A</v>
      </c>
      <c r="F279" s="294">
        <v>0</v>
      </c>
      <c r="G279" s="748">
        <f>IF(F279&lt;0,"Error: Enter as positive.",)</f>
        <v>0</v>
      </c>
      <c r="H279" s="17"/>
      <c r="I279" s="750"/>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25">
      <c r="A280" s="108">
        <v>990</v>
      </c>
      <c r="B280" s="850" t="s">
        <v>770</v>
      </c>
      <c r="C280" s="847" t="s">
        <v>168</v>
      </c>
      <c r="D280" s="776" t="s">
        <v>771</v>
      </c>
      <c r="E280" s="689" t="s">
        <v>747</v>
      </c>
      <c r="F280" s="294">
        <v>0</v>
      </c>
      <c r="G280" s="748"/>
      <c r="H280" s="17"/>
      <c r="I280" s="750"/>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25">
      <c r="A281" s="108"/>
      <c r="B281" s="883" t="s">
        <v>28</v>
      </c>
      <c r="C281" s="884"/>
      <c r="D281" s="886"/>
      <c r="E281" s="900"/>
      <c r="F281" s="868"/>
      <c r="G281" s="868"/>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25">
      <c r="A282" s="108">
        <v>6</v>
      </c>
      <c r="B282" s="4" t="s">
        <v>55</v>
      </c>
      <c r="C282" s="4" t="s">
        <v>169</v>
      </c>
      <c r="D282" s="24" t="s">
        <v>1250</v>
      </c>
      <c r="E282" s="687" t="e">
        <f>HLOOKUP($D$2,'2020 Data(H)'!$C$1:$CZ$426,5,FALSE)</f>
        <v>#N/A</v>
      </c>
      <c r="F282" s="294">
        <v>0</v>
      </c>
      <c r="G282" s="748">
        <f>IF(F282&lt;0,"Error: Enter as positive.",)</f>
        <v>0</v>
      </c>
      <c r="H282" s="17"/>
      <c r="I282" s="79"/>
      <c r="J282" s="595"/>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25">
      <c r="A283" s="108"/>
      <c r="B283" s="883" t="s">
        <v>180</v>
      </c>
      <c r="C283" s="884"/>
      <c r="D283" s="886"/>
      <c r="E283" s="902"/>
      <c r="F283" s="878"/>
      <c r="G283" s="878"/>
      <c r="H283" s="749"/>
      <c r="I283" s="750"/>
      <c r="J283" s="595"/>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25">
      <c r="A284" s="108">
        <v>541</v>
      </c>
      <c r="B284" s="689" t="s">
        <v>59</v>
      </c>
      <c r="C284" s="689" t="s">
        <v>1251</v>
      </c>
      <c r="D284" s="686" t="s">
        <v>1252</v>
      </c>
      <c r="E284" s="687" t="e">
        <f>HLOOKUP($D$2,'2020 Data(H)'!$C$1:$CZ$426,191,FALSE)</f>
        <v>#N/A</v>
      </c>
      <c r="F284" s="294">
        <v>0</v>
      </c>
      <c r="G284" s="748"/>
      <c r="H284" s="749"/>
      <c r="I284" s="750"/>
      <c r="J284" s="595"/>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25">
      <c r="A285" s="108"/>
      <c r="B285" s="884" t="s">
        <v>50</v>
      </c>
      <c r="C285" s="884"/>
      <c r="D285" s="886"/>
      <c r="E285" s="902"/>
      <c r="F285" s="898"/>
      <c r="G285" s="898"/>
      <c r="H285" s="749"/>
      <c r="I285" s="750"/>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90" hidden="1" customHeight="1" x14ac:dyDescent="0.25">
      <c r="A286" s="108">
        <v>542</v>
      </c>
      <c r="B286" s="689" t="s">
        <v>59</v>
      </c>
      <c r="C286" s="851" t="s">
        <v>1253</v>
      </c>
      <c r="D286" s="29" t="s">
        <v>170</v>
      </c>
      <c r="E286" s="687" t="e">
        <f>HLOOKUP($D$2,'2020 Data(H)'!$C$1:$CZ$426,192,FALSE)</f>
        <v>#N/A</v>
      </c>
      <c r="F286" s="294">
        <v>0</v>
      </c>
      <c r="G286" s="748"/>
      <c r="H286" s="749"/>
      <c r="I286" s="795"/>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25">
      <c r="A287" s="108"/>
      <c r="B287" s="883" t="s">
        <v>1254</v>
      </c>
      <c r="C287" s="883"/>
      <c r="D287" s="859"/>
      <c r="E287" s="860"/>
      <c r="F287" s="880"/>
      <c r="G287" s="880"/>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25">
      <c r="A288" s="108"/>
      <c r="B288" s="903" t="s">
        <v>12</v>
      </c>
      <c r="C288" s="903"/>
      <c r="D288" s="859"/>
      <c r="E288" s="860"/>
      <c r="F288" s="904"/>
      <c r="G288" s="880"/>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25">
      <c r="A289" s="34">
        <v>528</v>
      </c>
      <c r="B289" s="689" t="s">
        <v>55</v>
      </c>
      <c r="C289" s="4" t="s">
        <v>171</v>
      </c>
      <c r="D289" s="628" t="s">
        <v>1291</v>
      </c>
      <c r="E289" s="687" t="e">
        <f>HLOOKUP($D$2,'2020 Data(H)'!$C$1:$CZ$426,178,FALSE)</f>
        <v>#N/A</v>
      </c>
      <c r="F289" s="294">
        <v>0</v>
      </c>
      <c r="G289" s="748">
        <f>IF(F289="","Error: Unit must enter this information if they levy taxes.",)</f>
        <v>0</v>
      </c>
      <c r="H289" s="796"/>
      <c r="I289" s="79"/>
      <c r="J289" s="797"/>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25">
      <c r="A290" s="34">
        <v>529</v>
      </c>
      <c r="B290" s="689" t="s">
        <v>55</v>
      </c>
      <c r="C290" s="4" t="s">
        <v>171</v>
      </c>
      <c r="D290" s="628" t="s">
        <v>1255</v>
      </c>
      <c r="E290" s="687" t="e">
        <f>HLOOKUP($D$2,'2020 Data(H)'!$C$1:$CZ$426,179,FALSE)</f>
        <v>#N/A</v>
      </c>
      <c r="F290" s="294">
        <v>0</v>
      </c>
      <c r="G290" s="748">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25">
      <c r="A291" s="34">
        <v>530</v>
      </c>
      <c r="B291" s="689" t="s">
        <v>55</v>
      </c>
      <c r="C291" s="4" t="s">
        <v>171</v>
      </c>
      <c r="D291" s="852" t="s">
        <v>1256</v>
      </c>
      <c r="E291" s="687" t="e">
        <f>HLOOKUP($D$2,'2020 Data(H)'!$C$1:$CZ$426,180,FALSE)</f>
        <v>#N/A</v>
      </c>
      <c r="F291" s="294">
        <v>0</v>
      </c>
      <c r="G291" s="748">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25">
      <c r="A292" s="34">
        <v>531</v>
      </c>
      <c r="B292" s="689" t="s">
        <v>55</v>
      </c>
      <c r="C292" s="4" t="s">
        <v>171</v>
      </c>
      <c r="D292" s="852" t="s">
        <v>1257</v>
      </c>
      <c r="E292" s="687" t="e">
        <f>HLOOKUP($D$2,'2020 Data(H)'!$C$1:$CZ$426,181,FALSE)</f>
        <v>#N/A</v>
      </c>
      <c r="F292" s="294">
        <v>0</v>
      </c>
      <c r="G292" s="748">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25">
      <c r="A293" s="108">
        <v>61</v>
      </c>
      <c r="B293" s="4" t="s">
        <v>59</v>
      </c>
      <c r="C293" s="4" t="s">
        <v>171</v>
      </c>
      <c r="D293" s="29" t="s">
        <v>1258</v>
      </c>
      <c r="E293" s="35" t="e">
        <f>HLOOKUP($D$2,'2020 Data(H)'!$C$1:$CZ$426,43,FALSE)</f>
        <v>#N/A</v>
      </c>
      <c r="F293" s="281">
        <v>0</v>
      </c>
      <c r="G293" s="748" t="e">
        <f>IF(F293=H293," ","Please check values in account 528, 529, 530 and  531.")</f>
        <v>#DIV/0!</v>
      </c>
      <c r="H293" s="798"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25">
      <c r="A294" s="108">
        <v>102</v>
      </c>
      <c r="B294" s="4" t="s">
        <v>59</v>
      </c>
      <c r="C294" s="4" t="s">
        <v>171</v>
      </c>
      <c r="D294" s="60" t="s">
        <v>1259</v>
      </c>
      <c r="E294" s="35" t="e">
        <f>HLOOKUP($D$2,'2020 Data(H)'!$C$1:$CZ$426,62,FALSE)</f>
        <v>#N/A</v>
      </c>
      <c r="F294" s="281">
        <v>0</v>
      </c>
      <c r="G294" s="748" t="e">
        <f>IF(F294=H294," ","Please check values in account 528 and 530.")</f>
        <v>#DIV/0!</v>
      </c>
      <c r="H294" s="798"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25">
      <c r="A295" s="108">
        <v>103</v>
      </c>
      <c r="B295" s="4" t="s">
        <v>59</v>
      </c>
      <c r="C295" s="4" t="s">
        <v>171</v>
      </c>
      <c r="D295" s="29" t="s">
        <v>1260</v>
      </c>
      <c r="E295" s="35" t="e">
        <f>HLOOKUP($D$2,'2020 Data(H)'!$C$1:$CZ$426,63,FALSE)</f>
        <v>#N/A</v>
      </c>
      <c r="F295" s="281">
        <v>0</v>
      </c>
      <c r="G295" s="748" t="e">
        <f>IF(F295=H295," ","Please check values in account 529 and 531.")</f>
        <v>#DIV/0!</v>
      </c>
      <c r="H295" s="798" t="e">
        <f>ROUND((F290-F292)/F290*100,2)</f>
        <v>#DIV/0!</v>
      </c>
      <c r="I295" s="79"/>
      <c r="M295" s="18" t="s">
        <v>748</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25">
      <c r="A296" s="108">
        <v>544</v>
      </c>
      <c r="B296" s="689" t="s">
        <v>59</v>
      </c>
      <c r="C296" s="689" t="s">
        <v>171</v>
      </c>
      <c r="D296" s="24" t="s">
        <v>1261</v>
      </c>
      <c r="E296" s="36" t="e">
        <f>HLOOKUP($D$2,'2020 Data(H)'!$C$1:$CZ$426,194,FALSE)</f>
        <v>#N/A</v>
      </c>
      <c r="F296" s="371">
        <v>0</v>
      </c>
      <c r="G296" s="748"/>
      <c r="H296" s="17"/>
      <c r="I296" s="108"/>
      <c r="J296" s="853"/>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25">
      <c r="A297" s="108">
        <v>545</v>
      </c>
      <c r="B297" s="689" t="s">
        <v>59</v>
      </c>
      <c r="C297" s="689" t="s">
        <v>171</v>
      </c>
      <c r="D297" s="24" t="s">
        <v>1262</v>
      </c>
      <c r="E297" s="36"/>
      <c r="F297" s="371">
        <v>0</v>
      </c>
      <c r="G297" s="748"/>
      <c r="H297" s="17"/>
      <c r="I297" s="137"/>
      <c r="J297" s="853"/>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25">
      <c r="A298" s="125">
        <v>624</v>
      </c>
      <c r="B298" s="124" t="s">
        <v>59</v>
      </c>
      <c r="C298" s="124"/>
      <c r="D298" s="124" t="s">
        <v>450</v>
      </c>
      <c r="E298" s="36"/>
      <c r="F298" s="270"/>
      <c r="G298" s="791" t="str">
        <f>IF(+F298&lt;1,"Please answer this question","")</f>
        <v>Please answer this question</v>
      </c>
      <c r="H298" s="17"/>
      <c r="I298" s="108"/>
      <c r="J298" s="853"/>
      <c r="M298" s="18" t="s">
        <v>749</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25">
      <c r="A299" s="690">
        <v>648</v>
      </c>
      <c r="B299" s="321" t="s">
        <v>852</v>
      </c>
      <c r="C299" s="847" t="s">
        <v>171</v>
      </c>
      <c r="D299" s="321" t="s">
        <v>1124</v>
      </c>
      <c r="E299" s="689" t="s">
        <v>747</v>
      </c>
      <c r="F299" s="371">
        <v>0</v>
      </c>
      <c r="G299" s="791"/>
      <c r="H299" s="17"/>
      <c r="I299" s="108"/>
      <c r="J299" s="853"/>
      <c r="Z299" s="690"/>
      <c r="AA299" s="690"/>
      <c r="AB299" s="690"/>
      <c r="AC299" s="690"/>
      <c r="AD299" s="690"/>
      <c r="AE299" s="690"/>
      <c r="AF299" s="690"/>
      <c r="AG299" s="690"/>
      <c r="AH299" s="690"/>
      <c r="AI299" s="690"/>
      <c r="AJ299" s="690"/>
      <c r="AK299" s="690"/>
      <c r="AL299" s="690"/>
      <c r="AM299" s="690"/>
      <c r="AN299" s="690"/>
      <c r="AO299" s="690"/>
      <c r="AP299" s="690"/>
      <c r="AQ299" s="690"/>
      <c r="AR299" s="690"/>
    </row>
    <row r="300" spans="1:44" ht="171" hidden="1" customHeight="1" x14ac:dyDescent="0.25">
      <c r="A300" s="690">
        <v>991</v>
      </c>
      <c r="B300" s="320" t="s">
        <v>777</v>
      </c>
      <c r="C300" s="321"/>
      <c r="D300" s="799" t="s">
        <v>1052</v>
      </c>
      <c r="E300" s="689" t="s">
        <v>747</v>
      </c>
      <c r="F300" s="270"/>
      <c r="G300" s="791"/>
      <c r="H300" s="800" t="s">
        <v>773</v>
      </c>
      <c r="I300" s="252"/>
      <c r="J300" s="853"/>
      <c r="M300" s="18" t="s">
        <v>774</v>
      </c>
      <c r="Z300" s="690"/>
      <c r="AA300" s="690"/>
      <c r="AB300" s="690"/>
      <c r="AC300" s="690"/>
      <c r="AD300" s="690"/>
      <c r="AE300" s="690"/>
      <c r="AF300" s="690"/>
      <c r="AG300" s="690"/>
      <c r="AH300" s="690"/>
      <c r="AI300" s="690"/>
      <c r="AJ300" s="690"/>
      <c r="AK300" s="690"/>
      <c r="AL300" s="690"/>
      <c r="AM300" s="690"/>
      <c r="AN300" s="690"/>
      <c r="AO300" s="690"/>
      <c r="AP300" s="690"/>
      <c r="AQ300" s="690"/>
      <c r="AR300" s="690"/>
    </row>
    <row r="301" spans="1:44" ht="27.75" customHeight="1" x14ac:dyDescent="0.25">
      <c r="A301" s="108"/>
      <c r="B301" s="883" t="s">
        <v>440</v>
      </c>
      <c r="C301" s="883"/>
      <c r="D301" s="883"/>
      <c r="E301" s="905"/>
      <c r="F301" s="905"/>
      <c r="G301" s="906"/>
      <c r="H301" s="17"/>
      <c r="I301" s="108"/>
      <c r="J301" s="853"/>
      <c r="M301" s="18" t="s">
        <v>775</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25">
      <c r="A302" s="108">
        <v>620</v>
      </c>
      <c r="B302" s="689" t="s">
        <v>59</v>
      </c>
      <c r="C302" s="689"/>
      <c r="D302" s="24" t="s">
        <v>439</v>
      </c>
      <c r="E302" s="926"/>
      <c r="F302" s="270"/>
      <c r="G302" s="791" t="str">
        <f>IF(F302&lt;1,"Please answer this question","")</f>
        <v>Please answer this question</v>
      </c>
      <c r="H302" s="17"/>
      <c r="I302" s="108"/>
      <c r="J302" s="853"/>
      <c r="M302" s="18" t="s">
        <v>776</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25">
      <c r="A303" s="854"/>
      <c r="B303" s="1197" t="s">
        <v>600</v>
      </c>
      <c r="C303" s="1197"/>
      <c r="D303" s="1197"/>
      <c r="E303" s="919"/>
      <c r="F303" s="919"/>
      <c r="G303" s="919"/>
      <c r="H303" s="17"/>
      <c r="I303" s="108"/>
      <c r="J303" s="853"/>
      <c r="M303" s="18" t="s">
        <v>608</v>
      </c>
      <c r="Z303" s="854"/>
      <c r="AA303" s="854"/>
      <c r="AB303" s="854"/>
      <c r="AC303" s="854"/>
      <c r="AD303" s="854"/>
      <c r="AE303" s="854"/>
      <c r="AF303" s="854"/>
      <c r="AG303" s="854"/>
      <c r="AH303" s="854"/>
      <c r="AI303" s="854"/>
      <c r="AJ303" s="854"/>
      <c r="AK303" s="854"/>
      <c r="AL303" s="854"/>
      <c r="AM303" s="854"/>
      <c r="AN303" s="854"/>
      <c r="AO303" s="854"/>
      <c r="AP303" s="854"/>
      <c r="AQ303" s="854"/>
      <c r="AR303" s="854"/>
    </row>
    <row r="304" spans="1:44" ht="63" customHeight="1" x14ac:dyDescent="0.25">
      <c r="A304" s="313">
        <v>947</v>
      </c>
      <c r="B304" s="855"/>
      <c r="C304" s="855"/>
      <c r="D304" s="172" t="s">
        <v>549</v>
      </c>
      <c r="E304" s="692"/>
      <c r="F304" s="801"/>
      <c r="G304" s="791" t="str">
        <f>IF(ISBLANK(F304),"Please do not leave blank","")</f>
        <v>Please do not leave blank</v>
      </c>
      <c r="H304" s="17"/>
      <c r="I304" s="295"/>
      <c r="J304" s="727"/>
      <c r="K304" s="295"/>
      <c r="L304" s="295"/>
      <c r="M304" s="295"/>
      <c r="O304" s="295"/>
      <c r="Z304" s="313"/>
      <c r="AA304" s="313"/>
      <c r="AB304" s="313"/>
      <c r="AC304" s="313"/>
      <c r="AD304" s="313"/>
      <c r="AE304" s="313"/>
      <c r="AF304" s="313"/>
      <c r="AG304" s="313"/>
      <c r="AH304" s="313"/>
      <c r="AI304" s="313"/>
      <c r="AJ304" s="313"/>
      <c r="AK304" s="313"/>
      <c r="AL304" s="313"/>
      <c r="AM304" s="313"/>
      <c r="AN304" s="313"/>
      <c r="AO304" s="313"/>
      <c r="AP304" s="313"/>
      <c r="AQ304" s="313"/>
      <c r="AR304" s="313"/>
    </row>
    <row r="305" spans="1:44" ht="65.25" customHeight="1" x14ac:dyDescent="0.25">
      <c r="A305" s="313">
        <v>948</v>
      </c>
      <c r="B305" s="855"/>
      <c r="C305" s="855"/>
      <c r="D305" s="172" t="s">
        <v>550</v>
      </c>
      <c r="E305" s="692"/>
      <c r="F305" s="801"/>
      <c r="G305" s="791" t="str">
        <f t="shared" ref="G305:G311" si="3">IF(ISBLANK(F305),"Please do not leave blank","")</f>
        <v>Please do not leave blank</v>
      </c>
      <c r="H305" s="17"/>
      <c r="I305" s="295"/>
      <c r="J305" s="727"/>
      <c r="K305" s="295"/>
      <c r="L305" s="295"/>
      <c r="M305" s="295"/>
      <c r="O305" s="295"/>
      <c r="Z305" s="313"/>
      <c r="AA305" s="313"/>
      <c r="AB305" s="313"/>
      <c r="AC305" s="313"/>
      <c r="AD305" s="313"/>
      <c r="AE305" s="313"/>
      <c r="AF305" s="313"/>
      <c r="AG305" s="313"/>
      <c r="AH305" s="313"/>
      <c r="AI305" s="313"/>
      <c r="AJ305" s="313"/>
      <c r="AK305" s="313"/>
      <c r="AL305" s="313"/>
      <c r="AM305" s="313"/>
      <c r="AN305" s="313"/>
      <c r="AO305" s="313"/>
      <c r="AP305" s="313"/>
      <c r="AQ305" s="313"/>
      <c r="AR305" s="313"/>
    </row>
    <row r="306" spans="1:44" ht="76.5" customHeight="1" x14ac:dyDescent="0.25">
      <c r="A306" s="313">
        <v>949</v>
      </c>
      <c r="B306" s="855"/>
      <c r="C306" s="855"/>
      <c r="D306" s="172" t="s">
        <v>551</v>
      </c>
      <c r="E306" s="692"/>
      <c r="F306" s="801"/>
      <c r="G306" s="791" t="str">
        <f t="shared" si="3"/>
        <v>Please do not leave blank</v>
      </c>
      <c r="H306" s="17"/>
      <c r="I306" s="295"/>
      <c r="J306" s="727"/>
      <c r="K306" s="295"/>
      <c r="L306" s="295"/>
      <c r="M306" s="295"/>
      <c r="O306" s="295"/>
      <c r="Z306" s="313"/>
      <c r="AA306" s="313"/>
      <c r="AB306" s="313"/>
      <c r="AC306" s="313"/>
      <c r="AD306" s="313"/>
      <c r="AE306" s="313"/>
      <c r="AF306" s="313"/>
      <c r="AG306" s="313"/>
      <c r="AH306" s="313"/>
      <c r="AI306" s="313"/>
      <c r="AJ306" s="313"/>
      <c r="AK306" s="313"/>
      <c r="AL306" s="313"/>
      <c r="AM306" s="313"/>
      <c r="AN306" s="313"/>
      <c r="AO306" s="313"/>
      <c r="AP306" s="313"/>
      <c r="AQ306" s="313"/>
      <c r="AR306" s="313"/>
    </row>
    <row r="307" spans="1:44" ht="60" customHeight="1" x14ac:dyDescent="0.25">
      <c r="A307" s="313">
        <v>950</v>
      </c>
      <c r="B307" s="855"/>
      <c r="C307" s="855"/>
      <c r="D307" s="172" t="s">
        <v>533</v>
      </c>
      <c r="E307" s="692"/>
      <c r="F307" s="801"/>
      <c r="G307" s="791" t="str">
        <f t="shared" si="3"/>
        <v>Please do not leave blank</v>
      </c>
      <c r="H307" s="17"/>
      <c r="I307" s="295"/>
      <c r="J307" s="727"/>
      <c r="K307" s="295"/>
      <c r="L307" s="295"/>
      <c r="M307" s="295"/>
      <c r="O307" s="295"/>
      <c r="Z307" s="313"/>
      <c r="AA307" s="313"/>
      <c r="AB307" s="313"/>
      <c r="AC307" s="313"/>
      <c r="AD307" s="313"/>
      <c r="AE307" s="313"/>
      <c r="AF307" s="313"/>
      <c r="AG307" s="313"/>
      <c r="AH307" s="313"/>
      <c r="AI307" s="313"/>
      <c r="AJ307" s="313"/>
      <c r="AK307" s="313"/>
      <c r="AL307" s="313"/>
      <c r="AM307" s="313"/>
      <c r="AN307" s="313"/>
      <c r="AO307" s="313"/>
      <c r="AP307" s="313"/>
      <c r="AQ307" s="313"/>
      <c r="AR307" s="313"/>
    </row>
    <row r="308" spans="1:44" ht="90" x14ac:dyDescent="0.25">
      <c r="A308" s="313">
        <v>952</v>
      </c>
      <c r="B308" s="855"/>
      <c r="C308" s="855"/>
      <c r="D308" s="802" t="s">
        <v>1146</v>
      </c>
      <c r="E308" s="692"/>
      <c r="F308" s="803"/>
      <c r="G308" s="791" t="s">
        <v>1292</v>
      </c>
      <c r="H308" s="17"/>
      <c r="I308" s="804"/>
      <c r="J308" s="727"/>
      <c r="K308" s="295"/>
      <c r="L308" s="295"/>
      <c r="M308" s="295"/>
      <c r="O308" s="295"/>
      <c r="Z308" s="313"/>
      <c r="AA308" s="313"/>
      <c r="AB308" s="313"/>
      <c r="AC308" s="313"/>
      <c r="AD308" s="313"/>
      <c r="AE308" s="313"/>
      <c r="AF308" s="313"/>
      <c r="AG308" s="313"/>
      <c r="AH308" s="313"/>
      <c r="AI308" s="313"/>
      <c r="AJ308" s="313"/>
      <c r="AK308" s="313"/>
      <c r="AL308" s="313"/>
      <c r="AM308" s="313"/>
      <c r="AN308" s="313"/>
      <c r="AO308" s="313"/>
      <c r="AP308" s="313"/>
      <c r="AQ308" s="313"/>
      <c r="AR308" s="313"/>
    </row>
    <row r="309" spans="1:44" ht="93" customHeight="1" x14ac:dyDescent="0.25">
      <c r="A309" s="313">
        <v>954</v>
      </c>
      <c r="B309" s="855"/>
      <c r="C309" s="855"/>
      <c r="D309" s="802" t="s">
        <v>534</v>
      </c>
      <c r="E309" s="692"/>
      <c r="F309" s="801"/>
      <c r="G309" s="791" t="str">
        <f t="shared" si="3"/>
        <v>Please do not leave blank</v>
      </c>
      <c r="H309" s="17"/>
      <c r="I309" s="295"/>
      <c r="J309" s="727"/>
      <c r="K309" s="295"/>
      <c r="L309" s="295"/>
      <c r="M309" s="295"/>
      <c r="O309" s="295"/>
      <c r="Z309" s="313"/>
      <c r="AA309" s="313"/>
      <c r="AB309" s="313"/>
      <c r="AC309" s="313"/>
      <c r="AD309" s="313"/>
      <c r="AE309" s="313"/>
      <c r="AF309" s="313"/>
      <c r="AG309" s="313"/>
      <c r="AH309" s="313"/>
      <c r="AI309" s="313"/>
      <c r="AJ309" s="313"/>
      <c r="AK309" s="313"/>
      <c r="AL309" s="313"/>
      <c r="AM309" s="313"/>
      <c r="AN309" s="313"/>
      <c r="AO309" s="313"/>
      <c r="AP309" s="313"/>
      <c r="AQ309" s="313"/>
      <c r="AR309" s="313"/>
    </row>
    <row r="310" spans="1:44" ht="98.25" customHeight="1" x14ac:dyDescent="0.25">
      <c r="A310" s="313">
        <v>956</v>
      </c>
      <c r="B310" s="855"/>
      <c r="C310" s="855"/>
      <c r="D310" s="802" t="s">
        <v>535</v>
      </c>
      <c r="E310" s="692"/>
      <c r="F310" s="801"/>
      <c r="G310" s="791" t="str">
        <f t="shared" si="3"/>
        <v>Please do not leave blank</v>
      </c>
      <c r="H310" s="17"/>
      <c r="I310" s="295"/>
      <c r="J310" s="305"/>
      <c r="K310" s="295"/>
      <c r="L310" s="295"/>
      <c r="M310" s="295"/>
      <c r="O310" s="295"/>
      <c r="Z310" s="313"/>
      <c r="AA310" s="313"/>
      <c r="AB310" s="313"/>
      <c r="AC310" s="313"/>
      <c r="AD310" s="313"/>
      <c r="AE310" s="313"/>
      <c r="AF310" s="313"/>
      <c r="AG310" s="313"/>
      <c r="AH310" s="313"/>
      <c r="AI310" s="313"/>
      <c r="AJ310" s="313"/>
      <c r="AK310" s="313"/>
      <c r="AL310" s="313"/>
      <c r="AM310" s="313"/>
      <c r="AN310" s="313"/>
      <c r="AO310" s="313"/>
      <c r="AP310" s="313"/>
      <c r="AQ310" s="313"/>
      <c r="AR310" s="313"/>
    </row>
    <row r="311" spans="1:44" ht="218.25" customHeight="1" x14ac:dyDescent="0.25">
      <c r="A311" s="313">
        <v>958</v>
      </c>
      <c r="B311" s="855"/>
      <c r="C311" s="855"/>
      <c r="D311" s="799" t="s">
        <v>992</v>
      </c>
      <c r="E311" s="692"/>
      <c r="F311" s="801"/>
      <c r="G311" s="791" t="str">
        <f t="shared" si="3"/>
        <v>Please do not leave blank</v>
      </c>
      <c r="H311" s="17"/>
      <c r="I311" s="295"/>
      <c r="J311" s="295"/>
      <c r="K311" s="295"/>
      <c r="L311" s="295"/>
      <c r="M311" s="295"/>
      <c r="O311" s="295"/>
      <c r="Z311" s="313"/>
      <c r="AA311" s="313"/>
      <c r="AB311" s="313"/>
      <c r="AC311" s="313"/>
      <c r="AD311" s="313"/>
      <c r="AE311" s="313"/>
      <c r="AF311" s="313"/>
      <c r="AG311" s="313"/>
      <c r="AH311" s="313"/>
      <c r="AI311" s="313"/>
      <c r="AJ311" s="313"/>
      <c r="AK311" s="313"/>
      <c r="AL311" s="313"/>
      <c r="AM311" s="313"/>
      <c r="AN311" s="313"/>
      <c r="AO311" s="313"/>
      <c r="AP311" s="313"/>
      <c r="AQ311" s="313"/>
      <c r="AR311" s="313"/>
    </row>
    <row r="312" spans="1:44" ht="15.75" thickBot="1" x14ac:dyDescent="0.3">
      <c r="A312" s="108"/>
      <c r="B312" s="907"/>
      <c r="C312" s="908"/>
      <c r="D312" s="909" t="s">
        <v>537</v>
      </c>
      <c r="E312" s="893"/>
      <c r="F312" s="910"/>
      <c r="G312" s="911"/>
      <c r="H312" s="912"/>
      <c r="I312" s="295"/>
      <c r="J312" s="295"/>
      <c r="K312" s="295"/>
      <c r="L312" s="295"/>
      <c r="M312" s="295"/>
      <c r="O312" s="295"/>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75" thickBot="1" x14ac:dyDescent="0.3">
      <c r="B313" s="1194" t="s">
        <v>601</v>
      </c>
      <c r="C313" s="1195"/>
      <c r="D313" s="1195"/>
      <c r="E313" s="1196"/>
      <c r="F313" s="79"/>
      <c r="G313" s="791"/>
      <c r="H313" s="17"/>
      <c r="I313" s="108"/>
      <c r="Z313" s="18"/>
    </row>
    <row r="314" spans="1:44" ht="75.75" customHeight="1" x14ac:dyDescent="0.25">
      <c r="B314" s="1198" t="s">
        <v>602</v>
      </c>
      <c r="C314" s="1198"/>
      <c r="D314" s="1198"/>
      <c r="E314" s="1198"/>
      <c r="F314" s="79"/>
      <c r="G314" s="791"/>
      <c r="H314" s="17"/>
      <c r="I314" s="108"/>
      <c r="Z314" s="18"/>
    </row>
    <row r="315" spans="1:44" ht="15.75" thickBot="1" x14ac:dyDescent="0.3">
      <c r="A315" s="805"/>
      <c r="B315" s="806"/>
      <c r="C315" s="806"/>
      <c r="D315" s="807"/>
      <c r="E315" s="687"/>
      <c r="F315" s="79"/>
      <c r="G315" s="791"/>
      <c r="H315" s="17"/>
      <c r="I315" s="108"/>
      <c r="Z315" s="805"/>
      <c r="AA315" s="805"/>
      <c r="AB315" s="805"/>
      <c r="AC315" s="805"/>
      <c r="AD315" s="805"/>
      <c r="AE315" s="805"/>
      <c r="AF315" s="805"/>
      <c r="AG315" s="805"/>
      <c r="AH315" s="805"/>
      <c r="AI315" s="805"/>
      <c r="AJ315" s="805"/>
      <c r="AK315" s="805"/>
      <c r="AL315" s="805"/>
      <c r="AM315" s="805"/>
      <c r="AN315" s="805"/>
      <c r="AO315" s="805"/>
      <c r="AP315" s="805"/>
      <c r="AQ315" s="805"/>
      <c r="AR315" s="805"/>
    </row>
    <row r="316" spans="1:44" ht="15.75" thickBot="1" x14ac:dyDescent="0.3">
      <c r="B316" s="157" t="s">
        <v>515</v>
      </c>
      <c r="C316" s="158" t="s">
        <v>516</v>
      </c>
      <c r="D316" s="808"/>
      <c r="E316" s="809"/>
      <c r="F316" s="100"/>
      <c r="G316" s="791"/>
      <c r="H316" s="17"/>
      <c r="I316" s="108"/>
      <c r="Z316" s="18"/>
    </row>
    <row r="317" spans="1:44" ht="44.25" customHeight="1" thickBot="1" x14ac:dyDescent="0.3">
      <c r="B317" s="161" t="s">
        <v>555</v>
      </c>
      <c r="C317" s="160"/>
      <c r="D317" s="159"/>
      <c r="E317" s="693"/>
      <c r="F317" s="810"/>
      <c r="G317" s="791"/>
      <c r="H317" s="17"/>
      <c r="I317" s="108"/>
      <c r="Z317" s="18"/>
    </row>
    <row r="318" spans="1:44" ht="44.25" customHeight="1" thickBot="1" x14ac:dyDescent="0.3">
      <c r="B318" s="161"/>
      <c r="C318" s="171"/>
      <c r="D318" s="811" t="s">
        <v>590</v>
      </c>
      <c r="E318" s="812"/>
      <c r="F318" s="813"/>
      <c r="G318" s="813"/>
      <c r="H318" s="17"/>
      <c r="I318" s="108"/>
      <c r="Z318" s="18"/>
    </row>
    <row r="319" spans="1:44" ht="64.5" customHeight="1" thickBot="1" x14ac:dyDescent="0.3">
      <c r="A319" s="579">
        <v>960</v>
      </c>
      <c r="B319" s="1203" t="s">
        <v>556</v>
      </c>
      <c r="C319" s="1204"/>
      <c r="D319" s="814"/>
      <c r="E319" s="920" t="str">
        <f>IF(ISBLANK($D319),"&lt;&lt;&lt;&lt;&lt;&lt;&lt;&lt;&lt;&lt;&lt;&lt;&lt;&lt;&lt;","")</f>
        <v>&lt;&lt;&lt;&lt;&lt;&lt;&lt;&lt;&lt;&lt;&lt;&lt;&lt;&lt;&lt;</v>
      </c>
      <c r="F319" s="921" t="str">
        <f>IF(ISBLANK($D319),"Required","")</f>
        <v>Required</v>
      </c>
      <c r="G319" s="923"/>
      <c r="H319" s="749"/>
      <c r="I319" s="108"/>
      <c r="Z319" s="579"/>
      <c r="AA319" s="579"/>
      <c r="AB319" s="579"/>
      <c r="AC319" s="579"/>
      <c r="AD319" s="579"/>
      <c r="AE319" s="579"/>
      <c r="AF319" s="579"/>
      <c r="AG319" s="579"/>
      <c r="AH319" s="579"/>
      <c r="AI319" s="579"/>
      <c r="AJ319" s="579"/>
      <c r="AK319" s="579"/>
      <c r="AL319" s="579"/>
      <c r="AM319" s="579"/>
      <c r="AN319" s="579"/>
      <c r="AO319" s="579"/>
      <c r="AP319" s="579"/>
      <c r="AQ319" s="579"/>
      <c r="AR319" s="579"/>
    </row>
    <row r="320" spans="1:44" ht="30.75" customHeight="1" thickBot="1" x14ac:dyDescent="0.3">
      <c r="A320" s="579">
        <v>962</v>
      </c>
      <c r="B320" s="1199" t="s">
        <v>517</v>
      </c>
      <c r="C320" s="1200"/>
      <c r="D320" s="814"/>
      <c r="E320" s="920" t="str">
        <f>IF(ISBLANK($D320),"&lt;&lt;&lt;&lt;&lt;&lt;&lt;&lt;&lt;&lt;&lt;&lt;&lt;&lt;&lt;","")</f>
        <v>&lt;&lt;&lt;&lt;&lt;&lt;&lt;&lt;&lt;&lt;&lt;&lt;&lt;&lt;&lt;</v>
      </c>
      <c r="F320" s="921" t="str">
        <f>IF(ISBLANK($D320),"Required","")</f>
        <v>Required</v>
      </c>
      <c r="H320" s="17"/>
      <c r="I320" s="108"/>
      <c r="Z320" s="579"/>
      <c r="AA320" s="579"/>
      <c r="AB320" s="579"/>
      <c r="AC320" s="579"/>
      <c r="AD320" s="579"/>
      <c r="AE320" s="579"/>
      <c r="AF320" s="579"/>
      <c r="AG320" s="579"/>
      <c r="AH320" s="579"/>
      <c r="AI320" s="579"/>
      <c r="AJ320" s="579"/>
      <c r="AK320" s="579"/>
      <c r="AL320" s="579"/>
      <c r="AM320" s="579"/>
      <c r="AN320" s="579"/>
      <c r="AO320" s="579"/>
      <c r="AP320" s="579"/>
      <c r="AQ320" s="579"/>
      <c r="AR320" s="579"/>
    </row>
    <row r="321" spans="1:44" ht="30.75" customHeight="1" thickBot="1" x14ac:dyDescent="0.3">
      <c r="A321" s="579">
        <v>964</v>
      </c>
      <c r="B321" s="1199" t="s">
        <v>518</v>
      </c>
      <c r="C321" s="1200"/>
      <c r="D321" s="815"/>
      <c r="E321" s="920" t="str">
        <f>IF(ISBLANK($D321),"&lt;&lt;&lt;&lt;&lt;&lt;&lt;&lt;&lt;&lt;&lt;&lt;&lt;&lt;&lt;","")</f>
        <v>&lt;&lt;&lt;&lt;&lt;&lt;&lt;&lt;&lt;&lt;&lt;&lt;&lt;&lt;&lt;</v>
      </c>
      <c r="F321" s="921" t="str">
        <f>IF(ISBLANK($D321),"Required","")</f>
        <v>Required</v>
      </c>
      <c r="H321" s="17"/>
      <c r="I321" s="372"/>
      <c r="Z321" s="579"/>
      <c r="AA321" s="579"/>
      <c r="AB321" s="579"/>
      <c r="AC321" s="579"/>
      <c r="AD321" s="579"/>
      <c r="AE321" s="579"/>
      <c r="AF321" s="579"/>
      <c r="AG321" s="579"/>
      <c r="AH321" s="579"/>
      <c r="AI321" s="579"/>
      <c r="AJ321" s="579"/>
      <c r="AK321" s="579"/>
      <c r="AL321" s="579"/>
      <c r="AM321" s="579"/>
      <c r="AN321" s="579"/>
      <c r="AO321" s="579"/>
      <c r="AP321" s="579"/>
      <c r="AQ321" s="579"/>
      <c r="AR321" s="579"/>
    </row>
    <row r="322" spans="1:44" ht="30.75" customHeight="1" thickBot="1" x14ac:dyDescent="0.3">
      <c r="A322" s="579">
        <v>966</v>
      </c>
      <c r="B322" s="1199" t="s">
        <v>519</v>
      </c>
      <c r="C322" s="1200"/>
      <c r="D322" s="814"/>
      <c r="E322" s="920" t="str">
        <f>IF(ISBLANK($D322),"&lt;&lt;&lt;&lt;&lt;&lt;&lt;&lt;&lt;&lt;&lt;&lt;&lt;&lt;&lt;","")</f>
        <v>&lt;&lt;&lt;&lt;&lt;&lt;&lt;&lt;&lt;&lt;&lt;&lt;&lt;&lt;&lt;</v>
      </c>
      <c r="F322" s="921" t="str">
        <f>IF(ISBLANK($D322),"Required","")</f>
        <v>Required</v>
      </c>
      <c r="H322" s="17"/>
      <c r="I322" s="108"/>
      <c r="Z322" s="579"/>
      <c r="AA322" s="579"/>
      <c r="AB322" s="579"/>
      <c r="AC322" s="579"/>
      <c r="AD322" s="579"/>
      <c r="AE322" s="579"/>
      <c r="AF322" s="579"/>
      <c r="AG322" s="579"/>
      <c r="AH322" s="579"/>
      <c r="AI322" s="579"/>
      <c r="AJ322" s="579"/>
      <c r="AK322" s="579"/>
      <c r="AL322" s="579"/>
      <c r="AM322" s="579"/>
      <c r="AN322" s="579"/>
      <c r="AO322" s="579"/>
      <c r="AP322" s="579"/>
      <c r="AQ322" s="579"/>
      <c r="AR322" s="579"/>
    </row>
    <row r="323" spans="1:44" ht="30.75" customHeight="1" thickBot="1" x14ac:dyDescent="0.3">
      <c r="A323" s="579">
        <v>968</v>
      </c>
      <c r="B323" s="1201" t="s">
        <v>520</v>
      </c>
      <c r="C323" s="1202"/>
      <c r="D323" s="816"/>
      <c r="E323" s="922" t="str">
        <f>IF(ISBLANK($D323),"&lt;&lt;&lt;&lt;&lt;&lt;&lt;&lt;&lt;&lt;&lt;&lt;&lt;&lt;&lt;","")</f>
        <v>&lt;&lt;&lt;&lt;&lt;&lt;&lt;&lt;&lt;&lt;&lt;&lt;&lt;&lt;&lt;</v>
      </c>
      <c r="F323" s="921" t="str">
        <f>IF(ISBLANK($D323),"Required","")</f>
        <v>Required</v>
      </c>
      <c r="H323" s="17"/>
      <c r="I323" s="108"/>
      <c r="Z323" s="579"/>
      <c r="AA323" s="579"/>
      <c r="AB323" s="579"/>
      <c r="AC323" s="579"/>
      <c r="AD323" s="579"/>
      <c r="AE323" s="579"/>
      <c r="AF323" s="579"/>
      <c r="AG323" s="579"/>
      <c r="AH323" s="579"/>
      <c r="AI323" s="579"/>
      <c r="AJ323" s="579"/>
      <c r="AK323" s="579"/>
      <c r="AL323" s="579"/>
      <c r="AM323" s="579"/>
      <c r="AN323" s="579"/>
      <c r="AO323" s="579"/>
      <c r="AP323" s="579"/>
      <c r="AQ323" s="579"/>
      <c r="AR323" s="579"/>
    </row>
    <row r="324" spans="1:44" x14ac:dyDescent="0.25">
      <c r="A324" s="108"/>
      <c r="B324" s="913"/>
      <c r="C324" s="913"/>
      <c r="D324" s="924" t="s">
        <v>46</v>
      </c>
      <c r="E324" s="914"/>
      <c r="F324" s="914"/>
      <c r="G324" s="914"/>
      <c r="H324" s="915"/>
      <c r="I324" s="108"/>
    </row>
    <row r="325" spans="1:44" x14ac:dyDescent="0.25">
      <c r="A325" s="108"/>
      <c r="B325" s="689"/>
      <c r="C325" s="689"/>
      <c r="D325" s="169"/>
      <c r="E325" s="302"/>
      <c r="F325" s="817"/>
      <c r="G325" s="817"/>
      <c r="H325" s="17"/>
      <c r="I325" s="108"/>
    </row>
    <row r="326" spans="1:44" x14ac:dyDescent="0.25">
      <c r="A326" s="108"/>
      <c r="B326" s="689"/>
      <c r="C326" s="689"/>
      <c r="D326" s="24"/>
      <c r="E326" s="687"/>
      <c r="F326" s="817"/>
      <c r="G326" s="817"/>
      <c r="H326" s="17"/>
      <c r="I326" s="108"/>
    </row>
    <row r="327" spans="1:44" x14ac:dyDescent="0.25">
      <c r="A327" s="1056">
        <f>SUBTOTAL(109,A7:A323)</f>
        <v>42872</v>
      </c>
    </row>
    <row r="328" spans="1:44" x14ac:dyDescent="0.25">
      <c r="A328" s="108"/>
      <c r="B328" s="856"/>
      <c r="C328" s="856"/>
      <c r="D328" s="818"/>
      <c r="E328" s="413"/>
      <c r="F328" s="18"/>
      <c r="G328" s="819"/>
      <c r="H328" s="17"/>
      <c r="I328" s="108"/>
    </row>
    <row r="329" spans="1:44" x14ac:dyDescent="0.25">
      <c r="A329" s="579"/>
      <c r="B329" s="579"/>
      <c r="C329" s="579"/>
      <c r="D329" s="818"/>
      <c r="E329" s="413"/>
      <c r="F329" s="295"/>
      <c r="G329" s="819"/>
      <c r="H329" s="17"/>
      <c r="I329" s="108"/>
    </row>
    <row r="330" spans="1:44" x14ac:dyDescent="0.25">
      <c r="A330" s="579"/>
      <c r="B330" s="579"/>
      <c r="C330" s="579"/>
      <c r="D330" s="820"/>
      <c r="E330" s="413"/>
      <c r="F330" s="295"/>
      <c r="G330" s="819"/>
      <c r="H330" s="17"/>
      <c r="I330" s="108"/>
    </row>
    <row r="331" spans="1:44" x14ac:dyDescent="0.25">
      <c r="A331" s="579"/>
      <c r="B331" s="579"/>
      <c r="C331" s="579"/>
      <c r="D331" s="820"/>
      <c r="E331" s="413"/>
      <c r="F331" s="295"/>
      <c r="G331" s="819"/>
      <c r="H331" s="17"/>
      <c r="I331" s="108"/>
    </row>
    <row r="332" spans="1:44" x14ac:dyDescent="0.25">
      <c r="A332" s="579"/>
      <c r="B332" s="579"/>
      <c r="C332" s="579"/>
      <c r="D332" s="820"/>
      <c r="E332" s="413"/>
      <c r="F332" s="295"/>
      <c r="G332" s="819"/>
      <c r="H332" s="17"/>
      <c r="I332" s="108"/>
    </row>
    <row r="333" spans="1:44" x14ac:dyDescent="0.25">
      <c r="A333" s="579"/>
      <c r="B333" s="579"/>
      <c r="C333" s="579"/>
      <c r="D333" s="820"/>
      <c r="E333" s="413"/>
      <c r="F333" s="295"/>
      <c r="G333" s="819"/>
      <c r="H333" s="17"/>
      <c r="I333" s="108"/>
    </row>
    <row r="334" spans="1:44" x14ac:dyDescent="0.25">
      <c r="A334" s="579"/>
      <c r="D334" s="619"/>
      <c r="E334" s="413"/>
      <c r="F334" s="295"/>
      <c r="H334" s="17"/>
      <c r="I334" s="108"/>
    </row>
    <row r="335" spans="1:44" x14ac:dyDescent="0.25">
      <c r="D335" s="619"/>
      <c r="E335" s="414"/>
      <c r="F335" s="295"/>
      <c r="H335" s="17"/>
      <c r="I335" s="108"/>
    </row>
    <row r="336" spans="1:44" x14ac:dyDescent="0.25">
      <c r="D336" s="619"/>
      <c r="E336" s="302"/>
      <c r="F336" s="295"/>
      <c r="H336" s="17"/>
      <c r="I336" s="108"/>
    </row>
    <row r="337" spans="4:12" x14ac:dyDescent="0.25">
      <c r="D337" s="619"/>
      <c r="E337" s="302"/>
      <c r="F337" s="295"/>
      <c r="I337" s="108"/>
    </row>
    <row r="338" spans="4:12" x14ac:dyDescent="0.25">
      <c r="E338" s="302"/>
      <c r="F338" s="295"/>
      <c r="G338" s="822"/>
      <c r="I338" s="108"/>
    </row>
    <row r="339" spans="4:12" x14ac:dyDescent="0.25">
      <c r="E339" s="302"/>
      <c r="F339" s="295"/>
      <c r="I339" s="108"/>
    </row>
    <row r="340" spans="4:12" x14ac:dyDescent="0.25">
      <c r="E340" s="302"/>
      <c r="F340" s="295"/>
      <c r="I340" s="108"/>
    </row>
    <row r="341" spans="4:12" x14ac:dyDescent="0.25">
      <c r="E341" s="302"/>
      <c r="F341" s="295"/>
      <c r="I341" s="108"/>
    </row>
    <row r="342" spans="4:12" x14ac:dyDescent="0.25">
      <c r="I342" s="108"/>
    </row>
    <row r="343" spans="4:12" x14ac:dyDescent="0.25">
      <c r="I343" s="108"/>
    </row>
    <row r="344" spans="4:12" x14ac:dyDescent="0.25">
      <c r="I344" s="108"/>
    </row>
    <row r="345" spans="4:12" x14ac:dyDescent="0.25">
      <c r="I345" s="108"/>
    </row>
    <row r="346" spans="4:12" x14ac:dyDescent="0.25">
      <c r="I346" s="108"/>
    </row>
    <row r="347" spans="4:12" x14ac:dyDescent="0.25">
      <c r="I347" s="108"/>
    </row>
    <row r="348" spans="4:12" x14ac:dyDescent="0.25">
      <c r="I348" s="108"/>
    </row>
    <row r="349" spans="4:12" x14ac:dyDescent="0.25">
      <c r="I349" s="295"/>
    </row>
    <row r="350" spans="4:12" x14ac:dyDescent="0.25">
      <c r="I350" s="295"/>
      <c r="K350" s="302"/>
      <c r="L350" s="302"/>
    </row>
    <row r="351" spans="4:12" x14ac:dyDescent="0.25">
      <c r="I351" s="295"/>
      <c r="K351" s="302"/>
      <c r="L351" s="302"/>
    </row>
    <row r="352" spans="4:12" x14ac:dyDescent="0.25">
      <c r="I352" s="295"/>
      <c r="K352" s="302"/>
      <c r="L352" s="302"/>
    </row>
    <row r="353" spans="9:12" x14ac:dyDescent="0.25">
      <c r="I353" s="295"/>
      <c r="K353" s="302"/>
      <c r="L353" s="302"/>
    </row>
    <row r="354" spans="9:12" x14ac:dyDescent="0.25">
      <c r="I354" s="295"/>
      <c r="K354" s="302"/>
      <c r="L354" s="302"/>
    </row>
    <row r="355" spans="9:12" x14ac:dyDescent="0.25">
      <c r="I355" s="295"/>
      <c r="K355" s="302"/>
      <c r="L355" s="302"/>
    </row>
    <row r="356" spans="9:12" x14ac:dyDescent="0.25">
      <c r="I356" s="108"/>
      <c r="K356" s="302"/>
      <c r="L356" s="302"/>
    </row>
    <row r="357" spans="9:12" x14ac:dyDescent="0.25">
      <c r="I357" s="108"/>
      <c r="K357" s="302"/>
      <c r="L357" s="302"/>
    </row>
    <row r="358" spans="9:12" x14ac:dyDescent="0.25">
      <c r="I358" s="108"/>
      <c r="J358" s="302"/>
      <c r="K358" s="302"/>
      <c r="L358" s="302"/>
    </row>
    <row r="359" spans="9:12" x14ac:dyDescent="0.25">
      <c r="I359" s="108"/>
      <c r="J359" s="302"/>
      <c r="K359" s="302"/>
      <c r="L359" s="302"/>
    </row>
    <row r="360" spans="9:12" x14ac:dyDescent="0.25">
      <c r="I360" s="108"/>
      <c r="J360" s="302"/>
      <c r="K360" s="302"/>
      <c r="L360" s="302"/>
    </row>
    <row r="361" spans="9:12" x14ac:dyDescent="0.25">
      <c r="I361" s="108"/>
      <c r="J361" s="302"/>
      <c r="K361" s="302"/>
      <c r="L361" s="302"/>
    </row>
    <row r="362" spans="9:12" x14ac:dyDescent="0.25">
      <c r="I362" s="108"/>
      <c r="J362" s="302"/>
      <c r="K362" s="302"/>
      <c r="L362" s="302"/>
    </row>
    <row r="363" spans="9:12" x14ac:dyDescent="0.25">
      <c r="I363" s="108"/>
      <c r="J363" s="302"/>
      <c r="K363" s="302"/>
      <c r="L363" s="302"/>
    </row>
    <row r="364" spans="9:12" x14ac:dyDescent="0.25">
      <c r="I364" s="108"/>
      <c r="J364" s="302"/>
      <c r="K364" s="302"/>
      <c r="L364" s="302"/>
    </row>
    <row r="365" spans="9:12" x14ac:dyDescent="0.25">
      <c r="I365" s="295"/>
      <c r="J365" s="302"/>
      <c r="K365" s="302"/>
      <c r="L365" s="302"/>
    </row>
    <row r="366" spans="9:12" x14ac:dyDescent="0.25">
      <c r="I366" s="295"/>
      <c r="J366" s="302"/>
      <c r="K366" s="302"/>
      <c r="L366" s="302"/>
    </row>
    <row r="367" spans="9:12" x14ac:dyDescent="0.25">
      <c r="I367" s="295"/>
      <c r="J367" s="302"/>
      <c r="K367" s="302"/>
      <c r="L367" s="302"/>
    </row>
    <row r="368" spans="9:12" x14ac:dyDescent="0.25">
      <c r="I368" s="295"/>
      <c r="J368" s="302"/>
      <c r="K368" s="302"/>
      <c r="L368" s="302"/>
    </row>
    <row r="369" spans="9:12" x14ac:dyDescent="0.25">
      <c r="I369" s="295"/>
      <c r="J369" s="302"/>
      <c r="K369" s="302"/>
      <c r="L369" s="302"/>
    </row>
    <row r="370" spans="9:12" x14ac:dyDescent="0.25">
      <c r="I370" s="295"/>
      <c r="J370" s="302"/>
      <c r="K370" s="302"/>
      <c r="L370" s="302"/>
    </row>
    <row r="371" spans="9:12" x14ac:dyDescent="0.25">
      <c r="I371" s="295"/>
      <c r="J371" s="302"/>
      <c r="K371" s="302"/>
      <c r="L371" s="302"/>
    </row>
    <row r="372" spans="9:12" x14ac:dyDescent="0.25">
      <c r="I372" s="295"/>
      <c r="J372" s="302"/>
      <c r="K372" s="302"/>
      <c r="L372" s="302"/>
    </row>
    <row r="373" spans="9:12" x14ac:dyDescent="0.25">
      <c r="I373" s="295"/>
      <c r="J373" s="302"/>
      <c r="K373" s="302"/>
      <c r="L373" s="302"/>
    </row>
    <row r="374" spans="9:12" x14ac:dyDescent="0.25">
      <c r="I374" s="295"/>
      <c r="J374" s="302"/>
      <c r="K374" s="302"/>
      <c r="L374" s="302"/>
    </row>
    <row r="375" spans="9:12" x14ac:dyDescent="0.25">
      <c r="I375" s="295"/>
      <c r="J375" s="302"/>
      <c r="K375" s="302"/>
      <c r="L375" s="302"/>
    </row>
    <row r="376" spans="9:12" x14ac:dyDescent="0.25">
      <c r="I376" s="295"/>
      <c r="J376" s="302"/>
      <c r="K376" s="302"/>
      <c r="L376" s="302"/>
    </row>
    <row r="377" spans="9:12" x14ac:dyDescent="0.25">
      <c r="I377" s="295"/>
      <c r="J377" s="302"/>
      <c r="K377" s="302"/>
      <c r="L377" s="302"/>
    </row>
    <row r="378" spans="9:12" x14ac:dyDescent="0.25">
      <c r="I378" s="295"/>
      <c r="J378" s="302"/>
      <c r="K378" s="302"/>
      <c r="L378" s="302"/>
    </row>
    <row r="379" spans="9:12" x14ac:dyDescent="0.25">
      <c r="I379" s="295"/>
      <c r="J379" s="302"/>
      <c r="K379" s="302"/>
      <c r="L379" s="302"/>
    </row>
    <row r="380" spans="9:12" x14ac:dyDescent="0.25">
      <c r="I380" s="295"/>
      <c r="J380" s="302"/>
      <c r="K380" s="302"/>
      <c r="L380" s="302"/>
    </row>
    <row r="381" spans="9:12" x14ac:dyDescent="0.25">
      <c r="I381" s="295"/>
      <c r="J381" s="302"/>
      <c r="K381" s="302"/>
      <c r="L381" s="302"/>
    </row>
    <row r="382" spans="9:12" x14ac:dyDescent="0.25">
      <c r="I382" s="295"/>
      <c r="J382" s="302"/>
      <c r="K382" s="302"/>
      <c r="L382" s="302"/>
    </row>
    <row r="383" spans="9:12" x14ac:dyDescent="0.25">
      <c r="I383" s="295"/>
      <c r="J383" s="302"/>
      <c r="K383" s="302"/>
      <c r="L383" s="302"/>
    </row>
    <row r="384" spans="9:12" x14ac:dyDescent="0.25">
      <c r="I384" s="295"/>
      <c r="J384" s="302"/>
      <c r="K384" s="302"/>
      <c r="L384" s="302"/>
    </row>
    <row r="385" spans="9:12" x14ac:dyDescent="0.25">
      <c r="I385" s="295"/>
      <c r="J385" s="302"/>
      <c r="K385" s="302"/>
      <c r="L385" s="302"/>
    </row>
    <row r="386" spans="9:12" x14ac:dyDescent="0.25">
      <c r="I386" s="295"/>
      <c r="J386" s="302"/>
      <c r="K386" s="302"/>
      <c r="L386" s="302"/>
    </row>
    <row r="387" spans="9:12" x14ac:dyDescent="0.25">
      <c r="I387" s="295"/>
      <c r="J387" s="302"/>
      <c r="K387" s="302"/>
      <c r="L387" s="302"/>
    </row>
    <row r="388" spans="9:12" x14ac:dyDescent="0.25">
      <c r="I388" s="295"/>
      <c r="J388" s="302"/>
      <c r="K388" s="302"/>
      <c r="L388" s="302"/>
    </row>
    <row r="389" spans="9:12" x14ac:dyDescent="0.25">
      <c r="I389" s="295"/>
      <c r="J389" s="302"/>
      <c r="K389" s="302"/>
      <c r="L389" s="302"/>
    </row>
    <row r="390" spans="9:12" x14ac:dyDescent="0.25">
      <c r="I390" s="295"/>
      <c r="J390" s="302"/>
      <c r="K390" s="302"/>
      <c r="L390" s="302"/>
    </row>
    <row r="391" spans="9:12" x14ac:dyDescent="0.25">
      <c r="I391" s="295"/>
      <c r="J391" s="302"/>
      <c r="K391" s="302"/>
      <c r="L391" s="302"/>
    </row>
    <row r="392" spans="9:12" x14ac:dyDescent="0.25">
      <c r="I392" s="295"/>
      <c r="J392" s="302"/>
      <c r="K392" s="302"/>
      <c r="L392" s="302"/>
    </row>
    <row r="393" spans="9:12" x14ac:dyDescent="0.25">
      <c r="I393" s="295"/>
      <c r="J393" s="302"/>
      <c r="K393" s="302"/>
      <c r="L393" s="302"/>
    </row>
    <row r="394" spans="9:12" x14ac:dyDescent="0.25">
      <c r="I394" s="295"/>
      <c r="J394" s="302"/>
      <c r="K394" s="302"/>
      <c r="L394" s="302"/>
    </row>
    <row r="395" spans="9:12" x14ac:dyDescent="0.25">
      <c r="I395" s="295"/>
      <c r="J395" s="302"/>
      <c r="K395" s="302"/>
      <c r="L395" s="302"/>
    </row>
    <row r="396" spans="9:12" x14ac:dyDescent="0.25">
      <c r="I396" s="295"/>
      <c r="J396" s="302"/>
      <c r="K396" s="302"/>
      <c r="L396" s="302"/>
    </row>
    <row r="397" spans="9:12" x14ac:dyDescent="0.25">
      <c r="I397" s="295"/>
      <c r="J397" s="302"/>
      <c r="K397" s="302"/>
      <c r="L397" s="302"/>
    </row>
    <row r="398" spans="9:12" x14ac:dyDescent="0.25">
      <c r="I398" s="295"/>
      <c r="J398" s="302"/>
      <c r="K398" s="302"/>
      <c r="L398" s="302"/>
    </row>
    <row r="399" spans="9:12" x14ac:dyDescent="0.25">
      <c r="I399" s="295"/>
      <c r="J399" s="302"/>
      <c r="K399" s="302"/>
      <c r="L399" s="302"/>
    </row>
    <row r="400" spans="9:12" x14ac:dyDescent="0.25">
      <c r="I400" s="295"/>
      <c r="J400" s="302"/>
      <c r="K400" s="302"/>
      <c r="L400" s="302"/>
    </row>
    <row r="401" spans="9:12" x14ac:dyDescent="0.25">
      <c r="I401" s="295"/>
      <c r="J401" s="302"/>
      <c r="K401" s="302"/>
      <c r="L401" s="302"/>
    </row>
    <row r="402" spans="9:12" x14ac:dyDescent="0.25">
      <c r="I402" s="295"/>
      <c r="J402" s="302"/>
      <c r="K402" s="302"/>
      <c r="L402" s="302"/>
    </row>
    <row r="403" spans="9:12" x14ac:dyDescent="0.25">
      <c r="I403" s="295"/>
      <c r="J403" s="302"/>
      <c r="K403" s="302"/>
      <c r="L403" s="302"/>
    </row>
    <row r="404" spans="9:12" x14ac:dyDescent="0.25">
      <c r="I404" s="295"/>
      <c r="J404" s="302"/>
      <c r="K404" s="302"/>
      <c r="L404" s="302"/>
    </row>
    <row r="405" spans="9:12" x14ac:dyDescent="0.25">
      <c r="I405" s="295"/>
      <c r="J405" s="302"/>
      <c r="K405" s="302"/>
      <c r="L405" s="302"/>
    </row>
    <row r="406" spans="9:12" x14ac:dyDescent="0.25">
      <c r="I406" s="295"/>
      <c r="J406" s="302"/>
      <c r="K406" s="302"/>
      <c r="L406" s="302"/>
    </row>
    <row r="407" spans="9:12" x14ac:dyDescent="0.25">
      <c r="I407" s="295"/>
      <c r="J407" s="302"/>
      <c r="K407" s="302"/>
      <c r="L407" s="302"/>
    </row>
    <row r="408" spans="9:12" x14ac:dyDescent="0.25">
      <c r="I408" s="295"/>
      <c r="J408" s="302"/>
      <c r="K408" s="302"/>
      <c r="L408" s="302"/>
    </row>
    <row r="409" spans="9:12" x14ac:dyDescent="0.25">
      <c r="I409" s="295"/>
      <c r="J409" s="302"/>
      <c r="K409" s="302"/>
      <c r="L409" s="302"/>
    </row>
    <row r="410" spans="9:12" x14ac:dyDescent="0.25">
      <c r="I410" s="295"/>
      <c r="J410" s="302"/>
      <c r="K410" s="302"/>
      <c r="L410" s="302"/>
    </row>
    <row r="411" spans="9:12" x14ac:dyDescent="0.25">
      <c r="I411" s="295"/>
      <c r="J411" s="302"/>
      <c r="K411" s="302"/>
      <c r="L411" s="302"/>
    </row>
    <row r="412" spans="9:12" x14ac:dyDescent="0.25">
      <c r="I412" s="295"/>
      <c r="J412" s="302"/>
      <c r="K412" s="302"/>
      <c r="L412" s="302"/>
    </row>
    <row r="413" spans="9:12" x14ac:dyDescent="0.25">
      <c r="I413" s="295"/>
      <c r="J413" s="302"/>
      <c r="K413" s="302"/>
      <c r="L413" s="302"/>
    </row>
    <row r="414" spans="9:12" x14ac:dyDescent="0.25">
      <c r="I414" s="295"/>
      <c r="J414" s="302"/>
      <c r="K414" s="302"/>
      <c r="L414" s="302"/>
    </row>
    <row r="415" spans="9:12" x14ac:dyDescent="0.25">
      <c r="I415" s="295"/>
      <c r="J415" s="302"/>
      <c r="K415" s="302"/>
      <c r="L415" s="302"/>
    </row>
    <row r="416" spans="9:12" x14ac:dyDescent="0.25">
      <c r="I416" s="295"/>
      <c r="J416" s="302"/>
      <c r="K416" s="302"/>
      <c r="L416" s="302"/>
    </row>
    <row r="417" spans="9:12" x14ac:dyDescent="0.25">
      <c r="I417" s="295"/>
      <c r="J417" s="302"/>
      <c r="K417" s="302"/>
      <c r="L417" s="302"/>
    </row>
    <row r="418" spans="9:12" x14ac:dyDescent="0.25">
      <c r="I418" s="295"/>
      <c r="J418" s="302"/>
      <c r="K418" s="302"/>
      <c r="L418" s="302"/>
    </row>
    <row r="419" spans="9:12" x14ac:dyDescent="0.25">
      <c r="I419" s="295"/>
      <c r="J419" s="302"/>
    </row>
    <row r="420" spans="9:12" x14ac:dyDescent="0.25">
      <c r="I420" s="295"/>
      <c r="J420" s="302"/>
    </row>
    <row r="421" spans="9:12" x14ac:dyDescent="0.25">
      <c r="I421" s="295"/>
      <c r="J421" s="302"/>
    </row>
    <row r="422" spans="9:12" x14ac:dyDescent="0.25">
      <c r="I422" s="295"/>
      <c r="J422" s="302"/>
    </row>
    <row r="423" spans="9:12" x14ac:dyDescent="0.25">
      <c r="I423" s="295"/>
      <c r="J423" s="302"/>
    </row>
    <row r="424" spans="9:12" x14ac:dyDescent="0.25">
      <c r="I424" s="295"/>
      <c r="J424" s="302"/>
    </row>
    <row r="425" spans="9:12" x14ac:dyDescent="0.25">
      <c r="I425" s="295"/>
      <c r="J425" s="302"/>
    </row>
    <row r="426" spans="9:12" x14ac:dyDescent="0.25">
      <c r="I426" s="295"/>
      <c r="J426" s="302"/>
    </row>
    <row r="427" spans="9:12" x14ac:dyDescent="0.25">
      <c r="I427" s="295"/>
    </row>
    <row r="428" spans="9:12" x14ac:dyDescent="0.25">
      <c r="I428" s="295"/>
    </row>
    <row r="429" spans="9:12" x14ac:dyDescent="0.25">
      <c r="I429" s="295"/>
    </row>
    <row r="430" spans="9:12" x14ac:dyDescent="0.25">
      <c r="I430" s="295"/>
    </row>
    <row r="431" spans="9:12" x14ac:dyDescent="0.25">
      <c r="I431" s="295"/>
    </row>
    <row r="432" spans="9:12" x14ac:dyDescent="0.25">
      <c r="I432" s="295"/>
    </row>
    <row r="433" spans="9:9" x14ac:dyDescent="0.25">
      <c r="I433" s="295"/>
    </row>
    <row r="434" spans="9:9" x14ac:dyDescent="0.25">
      <c r="I434" s="108"/>
    </row>
    <row r="435" spans="9:9" x14ac:dyDescent="0.25">
      <c r="I435" s="108"/>
    </row>
    <row r="436" spans="9:9" x14ac:dyDescent="0.25">
      <c r="I436" s="108"/>
    </row>
    <row r="437" spans="9:9" x14ac:dyDescent="0.25">
      <c r="I437" s="108"/>
    </row>
    <row r="438" spans="9:9" x14ac:dyDescent="0.25">
      <c r="I438" s="108"/>
    </row>
    <row r="439" spans="9:9" x14ac:dyDescent="0.25">
      <c r="I439" s="108"/>
    </row>
    <row r="440" spans="9:9" x14ac:dyDescent="0.25">
      <c r="I440" s="108"/>
    </row>
    <row r="441" spans="9:9" x14ac:dyDescent="0.25">
      <c r="I441" s="108"/>
    </row>
    <row r="442" spans="9:9" x14ac:dyDescent="0.25">
      <c r="I442" s="108"/>
    </row>
    <row r="443" spans="9:9" x14ac:dyDescent="0.25">
      <c r="I443" s="108"/>
    </row>
  </sheetData>
  <sheetProtection algorithmName="SHA-512" hashValue="/6XDbOdrrRMWJWizh0QDwdYWfK5N/GjfjTnxkjFEh35lAY8EMW4tmQA/TlOrJFSLm9aRHeu+py44KOrA+5U5xQ==" saltValue="1zTijFGaWQmwmaJH4d12CA=="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7" type="noConversion"/>
  <conditionalFormatting sqref="H198 H87:H98">
    <cfRule type="cellIs" dxfId="125" priority="107" stopIfTrue="1" operator="notEqual">
      <formula>0</formula>
    </cfRule>
  </conditionalFormatting>
  <conditionalFormatting sqref="H199">
    <cfRule type="cellIs" dxfId="124" priority="105" stopIfTrue="1" operator="notEqual">
      <formula>0</formula>
    </cfRule>
  </conditionalFormatting>
  <conditionalFormatting sqref="G289:G292 G296:G297">
    <cfRule type="cellIs" dxfId="123" priority="104" stopIfTrue="1" operator="notEqual">
      <formula>0</formula>
    </cfRule>
  </conditionalFormatting>
  <conditionalFormatting sqref="H23">
    <cfRule type="cellIs" dxfId="122" priority="103" stopIfTrue="1" operator="notEqual">
      <formula>0</formula>
    </cfRule>
  </conditionalFormatting>
  <conditionalFormatting sqref="H37:H38">
    <cfRule type="cellIs" dxfId="121" priority="102" stopIfTrue="1" operator="notEqual">
      <formula>0</formula>
    </cfRule>
  </conditionalFormatting>
  <conditionalFormatting sqref="H72">
    <cfRule type="cellIs" dxfId="120" priority="101" stopIfTrue="1" operator="notEqual">
      <formula>0</formula>
    </cfRule>
  </conditionalFormatting>
  <conditionalFormatting sqref="H149">
    <cfRule type="cellIs" dxfId="119" priority="99" stopIfTrue="1" operator="notEqual">
      <formula>0</formula>
    </cfRule>
  </conditionalFormatting>
  <conditionalFormatting sqref="H168">
    <cfRule type="cellIs" dxfId="118" priority="98" stopIfTrue="1" operator="notEqual">
      <formula>0</formula>
    </cfRule>
  </conditionalFormatting>
  <conditionalFormatting sqref="H182">
    <cfRule type="cellIs" dxfId="117" priority="97" stopIfTrue="1" operator="notEqual">
      <formula>0</formula>
    </cfRule>
  </conditionalFormatting>
  <conditionalFormatting sqref="H183">
    <cfRule type="cellIs" dxfId="116"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15" priority="67" stopIfTrue="1" operator="equal">
      <formula>0</formula>
    </cfRule>
  </conditionalFormatting>
  <conditionalFormatting sqref="L260">
    <cfRule type="cellIs" dxfId="114" priority="66" stopIfTrue="1" operator="equal">
      <formula>0</formula>
    </cfRule>
  </conditionalFormatting>
  <conditionalFormatting sqref="G274">
    <cfRule type="cellIs" priority="65" stopIfTrue="1" operator="equal">
      <formula>";;;"</formula>
    </cfRule>
  </conditionalFormatting>
  <conditionalFormatting sqref="G274">
    <cfRule type="cellIs" dxfId="113" priority="64" stopIfTrue="1" operator="equal">
      <formula>0</formula>
    </cfRule>
  </conditionalFormatting>
  <conditionalFormatting sqref="G274">
    <cfRule type="cellIs" dxfId="112" priority="63" stopIfTrue="1" operator="equal">
      <formula>0</formula>
    </cfRule>
  </conditionalFormatting>
  <conditionalFormatting sqref="G273">
    <cfRule type="cellIs" priority="53" stopIfTrue="1" operator="equal">
      <formula>";;;"</formula>
    </cfRule>
  </conditionalFormatting>
  <conditionalFormatting sqref="G273">
    <cfRule type="cellIs" dxfId="111" priority="52" stopIfTrue="1" operator="equal">
      <formula>0</formula>
    </cfRule>
  </conditionalFormatting>
  <conditionalFormatting sqref="G273">
    <cfRule type="cellIs" dxfId="110" priority="51" stopIfTrue="1" operator="equal">
      <formula>0</formula>
    </cfRule>
  </conditionalFormatting>
  <conditionalFormatting sqref="J266">
    <cfRule type="cellIs" priority="50" stopIfTrue="1" operator="equal">
      <formula>";;;"</formula>
    </cfRule>
  </conditionalFormatting>
  <conditionalFormatting sqref="J266">
    <cfRule type="cellIs" dxfId="109" priority="49" stopIfTrue="1" operator="equal">
      <formula>0</formula>
    </cfRule>
  </conditionalFormatting>
  <conditionalFormatting sqref="J266">
    <cfRule type="cellIs" dxfId="108" priority="48" stopIfTrue="1" operator="equal">
      <formula>0</formula>
    </cfRule>
  </conditionalFormatting>
  <conditionalFormatting sqref="G268">
    <cfRule type="cellIs" priority="20" stopIfTrue="1" operator="equal">
      <formula>";;;"</formula>
    </cfRule>
  </conditionalFormatting>
  <conditionalFormatting sqref="G268">
    <cfRule type="cellIs" dxfId="107" priority="19" stopIfTrue="1" operator="equal">
      <formula>0</formula>
    </cfRule>
  </conditionalFormatting>
  <conditionalFormatting sqref="G268">
    <cfRule type="cellIs" dxfId="106" priority="18" stopIfTrue="1" operator="equal">
      <formula>0</formula>
    </cfRule>
  </conditionalFormatting>
  <conditionalFormatting sqref="G266">
    <cfRule type="cellIs" priority="17" stopIfTrue="1" operator="equal">
      <formula>";;;"</formula>
    </cfRule>
  </conditionalFormatting>
  <conditionalFormatting sqref="G266">
    <cfRule type="cellIs" dxfId="105" priority="16" stopIfTrue="1" operator="equal">
      <formula>0</formula>
    </cfRule>
  </conditionalFormatting>
  <conditionalFormatting sqref="G266">
    <cfRule type="cellIs" dxfId="104" priority="15" stopIfTrue="1" operator="equal">
      <formula>0</formula>
    </cfRule>
  </conditionalFormatting>
  <conditionalFormatting sqref="G267">
    <cfRule type="cellIs" priority="14" stopIfTrue="1" operator="equal">
      <formula>";;;"</formula>
    </cfRule>
  </conditionalFormatting>
  <conditionalFormatting sqref="G267">
    <cfRule type="cellIs" dxfId="103" priority="13" stopIfTrue="1" operator="equal">
      <formula>0</formula>
    </cfRule>
  </conditionalFormatting>
  <conditionalFormatting sqref="G267">
    <cfRule type="cellIs" dxfId="102" priority="12" stopIfTrue="1" operator="equal">
      <formula>0</formula>
    </cfRule>
  </conditionalFormatting>
  <conditionalFormatting sqref="G270">
    <cfRule type="cellIs" priority="11" stopIfTrue="1" operator="equal">
      <formula>";;;"</formula>
    </cfRule>
  </conditionalFormatting>
  <conditionalFormatting sqref="G270">
    <cfRule type="cellIs" dxfId="101" priority="10" stopIfTrue="1" operator="equal">
      <formula>0</formula>
    </cfRule>
  </conditionalFormatting>
  <conditionalFormatting sqref="G270">
    <cfRule type="cellIs" dxfId="100" priority="9" stopIfTrue="1" operator="equal">
      <formula>0</formula>
    </cfRule>
  </conditionalFormatting>
  <conditionalFormatting sqref="G272">
    <cfRule type="cellIs" priority="3" stopIfTrue="1" operator="equal">
      <formula>";;;"</formula>
    </cfRule>
  </conditionalFormatting>
  <conditionalFormatting sqref="G272">
    <cfRule type="cellIs" dxfId="99" priority="2" stopIfTrue="1" operator="equal">
      <formula>0</formula>
    </cfRule>
  </conditionalFormatting>
  <conditionalFormatting sqref="G272">
    <cfRule type="cellIs" dxfId="98"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Names(H)'!$A$1:$A$72</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28515625" defaultRowHeight="15" x14ac:dyDescent="0.25"/>
  <cols>
    <col min="1" max="1" width="2.7109375" style="192" customWidth="1"/>
    <col min="2" max="3" width="2.28515625" style="192" customWidth="1"/>
    <col min="4" max="4" width="7.42578125" style="259" customWidth="1"/>
    <col min="5" max="5" width="43.7109375" style="247" customWidth="1"/>
    <col min="6" max="6" width="53.28515625" style="247" customWidth="1"/>
    <col min="7" max="7" width="18.7109375" style="192" customWidth="1"/>
    <col min="8" max="8" width="44.42578125" style="192" customWidth="1"/>
    <col min="9" max="9" width="9.42578125" style="192" customWidth="1"/>
    <col min="10" max="10" width="9.28515625" style="247" customWidth="1"/>
    <col min="11" max="12" width="16.7109375" customWidth="1"/>
    <col min="13" max="13" width="15.140625" customWidth="1"/>
    <col min="14" max="14" width="2.7109375" customWidth="1"/>
    <col min="15" max="15" width="61.140625" customWidth="1"/>
    <col min="16" max="16" width="77.7109375" customWidth="1"/>
    <col min="17" max="17" width="30.7109375" customWidth="1"/>
    <col min="18" max="18" width="10.42578125" customWidth="1"/>
    <col min="19" max="19" width="10.7109375" customWidth="1"/>
    <col min="20" max="20" width="11.140625" customWidth="1"/>
    <col min="21" max="21" width="14" customWidth="1"/>
    <col min="22" max="22" width="17.7109375" customWidth="1"/>
    <col min="23" max="23" width="11.28515625" customWidth="1"/>
    <col min="24" max="24" width="57.28515625" customWidth="1"/>
    <col min="25" max="25" width="13.140625" customWidth="1"/>
    <col min="26" max="26" width="31.140625" customWidth="1"/>
    <col min="27" max="27" width="4.7109375" customWidth="1"/>
    <col min="28" max="36" width="9.28515625" customWidth="1"/>
    <col min="37" max="37" width="36.42578125" customWidth="1"/>
    <col min="38" max="38" width="9.28515625" customWidth="1"/>
    <col min="43" max="43" width="9.28515625" style="193"/>
    <col min="44" max="16384" width="9.28515625" style="192"/>
  </cols>
  <sheetData>
    <row r="1" spans="1:43" ht="87" customHeight="1" thickBot="1" x14ac:dyDescent="0.3">
      <c r="B1" s="1228" t="s">
        <v>1589</v>
      </c>
      <c r="C1" s="1229"/>
      <c r="D1" s="1229"/>
      <c r="E1" s="1229"/>
      <c r="F1" s="1229"/>
      <c r="G1" s="1229"/>
      <c r="H1" s="1229"/>
      <c r="I1" s="1229"/>
      <c r="J1" s="1230"/>
    </row>
    <row r="2" spans="1:43" s="194" customFormat="1" ht="15.75" hidden="1" thickBot="1" x14ac:dyDescent="0.3">
      <c r="B2" s="1231" t="s">
        <v>609</v>
      </c>
      <c r="C2" s="1232"/>
      <c r="D2" s="1232"/>
      <c r="E2" s="1232"/>
      <c r="F2" s="1232"/>
      <c r="G2" s="1232"/>
      <c r="H2" s="1232"/>
      <c r="I2" s="1232"/>
      <c r="J2" s="1233"/>
      <c r="K2"/>
      <c r="L2"/>
      <c r="M2"/>
      <c r="N2"/>
      <c r="O2"/>
      <c r="P2"/>
      <c r="Q2"/>
      <c r="R2"/>
      <c r="S2"/>
      <c r="T2"/>
      <c r="U2"/>
      <c r="V2"/>
      <c r="W2"/>
      <c r="X2"/>
      <c r="Y2"/>
      <c r="Z2"/>
      <c r="AA2"/>
      <c r="AB2"/>
      <c r="AC2"/>
      <c r="AD2"/>
      <c r="AE2"/>
      <c r="AF2"/>
      <c r="AG2"/>
      <c r="AH2"/>
      <c r="AI2"/>
      <c r="AJ2"/>
      <c r="AK2"/>
      <c r="AL2"/>
      <c r="AM2"/>
      <c r="AN2"/>
      <c r="AO2"/>
      <c r="AP2"/>
      <c r="AQ2" s="193"/>
    </row>
    <row r="3" spans="1:43" s="196" customFormat="1" ht="39" hidden="1" customHeight="1" thickBot="1" x14ac:dyDescent="0.3">
      <c r="A3" s="192"/>
      <c r="B3" s="1234" t="s">
        <v>610</v>
      </c>
      <c r="C3" s="1235"/>
      <c r="D3" s="1235"/>
      <c r="E3" s="1235"/>
      <c r="F3" s="1235"/>
      <c r="G3" s="1235"/>
      <c r="H3" s="1235"/>
      <c r="I3" s="1235"/>
      <c r="J3" s="1236"/>
      <c r="K3"/>
      <c r="L3"/>
      <c r="M3"/>
      <c r="N3"/>
      <c r="O3"/>
      <c r="P3"/>
      <c r="Q3"/>
      <c r="R3"/>
      <c r="S3"/>
      <c r="T3"/>
      <c r="U3"/>
      <c r="V3"/>
      <c r="W3"/>
      <c r="X3"/>
      <c r="Y3"/>
      <c r="Z3"/>
      <c r="AA3"/>
      <c r="AB3"/>
      <c r="AC3"/>
      <c r="AD3"/>
      <c r="AE3"/>
      <c r="AF3"/>
      <c r="AG3"/>
      <c r="AH3"/>
      <c r="AI3"/>
      <c r="AJ3"/>
      <c r="AK3"/>
      <c r="AL3"/>
      <c r="AM3"/>
      <c r="AN3"/>
      <c r="AO3"/>
      <c r="AP3"/>
      <c r="AQ3" s="195"/>
    </row>
    <row r="4" spans="1:43" ht="20.25" customHeight="1" x14ac:dyDescent="0.25">
      <c r="B4" s="1174" t="s">
        <v>1590</v>
      </c>
      <c r="C4" s="1175"/>
      <c r="D4" s="1175"/>
      <c r="E4" s="1175"/>
      <c r="F4" s="1176"/>
      <c r="G4" s="1176"/>
      <c r="H4" s="1176"/>
      <c r="I4" s="1176"/>
      <c r="J4" s="1177"/>
    </row>
    <row r="5" spans="1:43" ht="27" hidden="1" customHeight="1" x14ac:dyDescent="0.25">
      <c r="B5" s="1225" t="s">
        <v>1314</v>
      </c>
      <c r="C5" s="1226"/>
      <c r="D5" s="1226"/>
      <c r="E5" s="1226"/>
      <c r="F5" s="1226"/>
      <c r="G5" s="1226"/>
      <c r="H5" s="1226"/>
      <c r="I5" s="1226"/>
      <c r="J5" s="1227"/>
    </row>
    <row r="6" spans="1:43" ht="27" hidden="1" customHeight="1" x14ac:dyDescent="0.25">
      <c r="B6" s="963"/>
      <c r="C6" s="964"/>
      <c r="D6" s="964"/>
      <c r="E6" s="964"/>
      <c r="F6" s="964"/>
      <c r="G6" s="964"/>
      <c r="H6" s="964"/>
      <c r="I6" s="964"/>
      <c r="J6" s="965"/>
    </row>
    <row r="7" spans="1:43" ht="20.25" customHeight="1" thickBot="1" x14ac:dyDescent="0.3">
      <c r="B7" s="1222" t="s">
        <v>1591</v>
      </c>
      <c r="C7" s="1223"/>
      <c r="D7" s="1223"/>
      <c r="E7" s="1223"/>
      <c r="F7" s="1223"/>
      <c r="G7" s="1223"/>
      <c r="H7" s="1223"/>
      <c r="I7" s="1223"/>
      <c r="J7" s="1224"/>
    </row>
    <row r="8" spans="1:43" ht="39" hidden="1" customHeight="1" thickBot="1" x14ac:dyDescent="0.3">
      <c r="B8" s="197"/>
      <c r="C8" s="198"/>
      <c r="D8" s="199" t="s">
        <v>611</v>
      </c>
      <c r="E8" s="200"/>
      <c r="F8" s="201"/>
      <c r="G8" s="201"/>
      <c r="H8" s="201"/>
      <c r="I8" s="201"/>
      <c r="J8" s="202"/>
    </row>
    <row r="9" spans="1:43" s="203" customFormat="1" ht="15.75" hidden="1" thickBot="1" x14ac:dyDescent="0.3">
      <c r="B9" s="204"/>
      <c r="C9" s="205"/>
      <c r="D9" s="254" t="s">
        <v>486</v>
      </c>
      <c r="E9" s="206"/>
      <c r="F9" s="206"/>
      <c r="G9" s="206"/>
      <c r="H9" s="207"/>
      <c r="I9" s="207"/>
      <c r="J9" s="208"/>
      <c r="K9"/>
      <c r="L9"/>
      <c r="M9"/>
      <c r="N9"/>
      <c r="O9"/>
      <c r="P9"/>
      <c r="Q9"/>
      <c r="R9"/>
      <c r="S9"/>
      <c r="T9"/>
      <c r="U9"/>
      <c r="V9"/>
      <c r="W9"/>
      <c r="X9"/>
      <c r="Y9"/>
      <c r="Z9"/>
      <c r="AA9"/>
      <c r="AB9"/>
      <c r="AC9"/>
      <c r="AD9"/>
      <c r="AE9"/>
      <c r="AF9"/>
      <c r="AG9"/>
      <c r="AH9"/>
      <c r="AI9"/>
      <c r="AJ9"/>
      <c r="AK9"/>
      <c r="AL9"/>
      <c r="AM9"/>
      <c r="AN9"/>
      <c r="AO9"/>
      <c r="AP9"/>
      <c r="AQ9" s="193"/>
    </row>
    <row r="10" spans="1:43" ht="19.5" hidden="1" customHeight="1" thickBot="1" x14ac:dyDescent="0.3">
      <c r="B10" s="209"/>
      <c r="C10" s="210"/>
      <c r="D10" s="310" t="s">
        <v>856</v>
      </c>
      <c r="E10" s="1211" t="s">
        <v>612</v>
      </c>
      <c r="F10" s="1211"/>
      <c r="G10" s="1205"/>
      <c r="H10" s="1206"/>
      <c r="I10" s="1207"/>
      <c r="J10" s="211"/>
    </row>
    <row r="11" spans="1:43" ht="14.25" hidden="1" customHeight="1" thickBot="1" x14ac:dyDescent="0.3">
      <c r="B11" s="209"/>
      <c r="C11" s="210"/>
      <c r="D11" s="254"/>
      <c r="E11" s="206"/>
      <c r="F11" s="206"/>
      <c r="G11" s="212" t="str">
        <f>IF(U9&gt;0,"PLEASE SEE INSTRUCTIONS REGARDING NAME","")</f>
        <v/>
      </c>
      <c r="H11" s="213"/>
      <c r="I11" s="213"/>
      <c r="J11" s="211"/>
    </row>
    <row r="12" spans="1:43" ht="21" hidden="1" customHeight="1" thickBot="1" x14ac:dyDescent="0.3">
      <c r="B12" s="209"/>
      <c r="C12" s="210"/>
      <c r="D12" s="311" t="s">
        <v>857</v>
      </c>
      <c r="E12" s="1211" t="s">
        <v>1056</v>
      </c>
      <c r="F12" s="1211"/>
      <c r="G12" s="214"/>
      <c r="H12" s="213"/>
      <c r="I12" s="213"/>
      <c r="J12" s="211"/>
    </row>
    <row r="13" spans="1:43" ht="6.75" hidden="1" customHeight="1" thickBot="1" x14ac:dyDescent="0.3">
      <c r="B13" s="209"/>
      <c r="C13" s="210"/>
      <c r="D13" s="254"/>
      <c r="E13" s="215"/>
      <c r="F13" s="215"/>
      <c r="G13" s="213"/>
      <c r="H13" s="213"/>
      <c r="I13" s="213"/>
      <c r="J13" s="211"/>
    </row>
    <row r="14" spans="1:43" ht="26.25" hidden="1" customHeight="1" thickBot="1" x14ac:dyDescent="0.3">
      <c r="B14" s="209"/>
      <c r="C14" s="210"/>
      <c r="D14" s="260">
        <v>900</v>
      </c>
      <c r="E14" s="1211" t="s">
        <v>613</v>
      </c>
      <c r="F14" s="1211"/>
      <c r="G14" s="216"/>
      <c r="H14" s="213"/>
      <c r="I14" s="213"/>
      <c r="J14" s="211"/>
    </row>
    <row r="15" spans="1:43" ht="6.75" hidden="1" customHeight="1" thickBot="1" x14ac:dyDescent="0.3">
      <c r="B15" s="209"/>
      <c r="C15" s="210"/>
      <c r="D15" s="260"/>
      <c r="E15" s="215"/>
      <c r="F15" s="215"/>
      <c r="G15" s="213"/>
      <c r="H15" s="213"/>
      <c r="I15" s="213"/>
      <c r="J15" s="211"/>
    </row>
    <row r="16" spans="1:43" ht="26.25" hidden="1" customHeight="1" thickBot="1" x14ac:dyDescent="0.3">
      <c r="B16" s="209"/>
      <c r="C16" s="210"/>
      <c r="D16" s="260" t="s">
        <v>789</v>
      </c>
      <c r="E16" s="1240" t="s">
        <v>614</v>
      </c>
      <c r="F16" s="1240"/>
      <c r="G16" s="1241"/>
      <c r="H16" s="1206"/>
      <c r="I16" s="1207"/>
      <c r="J16" s="211"/>
    </row>
    <row r="17" spans="2:10" ht="6.75" hidden="1" customHeight="1" thickBot="1" x14ac:dyDescent="0.3">
      <c r="B17" s="209"/>
      <c r="C17" s="210"/>
      <c r="D17" s="260"/>
      <c r="E17" s="215"/>
      <c r="F17" s="215"/>
      <c r="G17" s="213"/>
      <c r="H17" s="213"/>
      <c r="I17" s="213"/>
      <c r="J17" s="211"/>
    </row>
    <row r="18" spans="2:10" ht="24" hidden="1" customHeight="1" thickBot="1" x14ac:dyDescent="0.3">
      <c r="B18" s="209"/>
      <c r="C18" s="210"/>
      <c r="D18" s="260" t="s">
        <v>790</v>
      </c>
      <c r="E18" s="1240" t="s">
        <v>615</v>
      </c>
      <c r="F18" s="1240"/>
      <c r="G18" s="1205"/>
      <c r="H18" s="1206"/>
      <c r="I18" s="1207"/>
      <c r="J18" s="211"/>
    </row>
    <row r="19" spans="2:10" ht="6.75" hidden="1" customHeight="1" thickBot="1" x14ac:dyDescent="0.3">
      <c r="B19" s="209"/>
      <c r="C19" s="210"/>
      <c r="D19" s="260"/>
      <c r="E19" s="215"/>
      <c r="F19" s="215"/>
      <c r="G19" s="213"/>
      <c r="H19" s="213"/>
      <c r="I19" s="213"/>
      <c r="J19" s="211"/>
    </row>
    <row r="20" spans="2:10" ht="24" hidden="1" customHeight="1" thickBot="1" x14ac:dyDescent="0.3">
      <c r="B20" s="209"/>
      <c r="C20" s="210"/>
      <c r="D20" s="260" t="s">
        <v>791</v>
      </c>
      <c r="E20" s="1240" t="s">
        <v>616</v>
      </c>
      <c r="F20" s="1240"/>
      <c r="G20" s="1205"/>
      <c r="H20" s="1206"/>
      <c r="I20" s="1207"/>
      <c r="J20" s="211"/>
    </row>
    <row r="21" spans="2:10" ht="6.75" hidden="1" customHeight="1" thickBot="1" x14ac:dyDescent="0.3">
      <c r="B21" s="209"/>
      <c r="C21" s="210"/>
      <c r="D21" s="260"/>
      <c r="E21" s="215"/>
      <c r="F21" s="215"/>
      <c r="G21" s="213"/>
      <c r="H21" s="213"/>
      <c r="I21" s="213"/>
      <c r="J21" s="211"/>
    </row>
    <row r="22" spans="2:10" ht="24" hidden="1" customHeight="1" thickBot="1" x14ac:dyDescent="0.3">
      <c r="B22" s="209"/>
      <c r="C22" s="210"/>
      <c r="D22" s="260" t="s">
        <v>792</v>
      </c>
      <c r="E22" s="1240" t="s">
        <v>617</v>
      </c>
      <c r="F22" s="1240"/>
      <c r="G22" s="1241"/>
      <c r="H22" s="1206"/>
      <c r="I22" s="1207"/>
      <c r="J22" s="211"/>
    </row>
    <row r="23" spans="2:10" ht="6.75" hidden="1" customHeight="1" thickBot="1" x14ac:dyDescent="0.3">
      <c r="B23" s="209"/>
      <c r="C23" s="210"/>
      <c r="D23" s="260"/>
      <c r="E23" s="215"/>
      <c r="F23" s="215"/>
      <c r="G23" s="213"/>
      <c r="H23" s="213"/>
      <c r="I23" s="213"/>
      <c r="J23" s="211"/>
    </row>
    <row r="24" spans="2:10" ht="24" hidden="1" customHeight="1" thickBot="1" x14ac:dyDescent="0.3">
      <c r="B24" s="209"/>
      <c r="C24" s="210"/>
      <c r="D24" s="260" t="s">
        <v>793</v>
      </c>
      <c r="E24" s="1240" t="s">
        <v>618</v>
      </c>
      <c r="F24" s="1240"/>
      <c r="G24" s="1241"/>
      <c r="H24" s="1206"/>
      <c r="I24" s="1207"/>
      <c r="J24" s="211"/>
    </row>
    <row r="25" spans="2:10" ht="6.75" hidden="1" customHeight="1" thickBot="1" x14ac:dyDescent="0.3">
      <c r="B25" s="209"/>
      <c r="C25" s="210"/>
      <c r="D25" s="261"/>
      <c r="E25" s="206"/>
      <c r="F25" s="206"/>
      <c r="G25" s="210"/>
      <c r="H25" s="210"/>
      <c r="I25" s="210"/>
      <c r="J25" s="211"/>
    </row>
    <row r="26" spans="2:10" ht="18.75" hidden="1" customHeight="1" thickBot="1" x14ac:dyDescent="0.3">
      <c r="B26" s="209"/>
      <c r="C26" s="210"/>
      <c r="D26" s="260" t="s">
        <v>858</v>
      </c>
      <c r="E26" s="1211" t="s">
        <v>619</v>
      </c>
      <c r="F26" s="1211"/>
      <c r="G26" s="1242"/>
      <c r="H26" s="1243"/>
      <c r="I26" s="217"/>
      <c r="J26" s="211"/>
    </row>
    <row r="27" spans="2:10" ht="28.5" hidden="1" customHeight="1" thickBot="1" x14ac:dyDescent="0.3">
      <c r="B27" s="209"/>
      <c r="C27" s="210"/>
      <c r="D27" s="260"/>
      <c r="E27" s="1244" t="str">
        <f>IF(G26="Housing Authority", CONCATENATE("SKIP Questions ",D28,"-",D66),"")</f>
        <v/>
      </c>
      <c r="F27" s="1244"/>
      <c r="G27" s="1244"/>
      <c r="H27" s="1244"/>
      <c r="I27" s="217"/>
      <c r="J27" s="211"/>
    </row>
    <row r="28" spans="2:10" ht="28.5" hidden="1" customHeight="1" thickBot="1" x14ac:dyDescent="0.3">
      <c r="B28" s="209"/>
      <c r="C28" s="210"/>
      <c r="D28" s="260" t="s">
        <v>795</v>
      </c>
      <c r="E28" s="1211" t="s">
        <v>620</v>
      </c>
      <c r="F28" s="1211"/>
      <c r="G28" s="218"/>
      <c r="H28" s="1245">
        <f>+O28</f>
        <v>0</v>
      </c>
      <c r="I28" s="1246"/>
      <c r="J28" s="211"/>
    </row>
    <row r="29" spans="2:10" ht="6.75" hidden="1" customHeight="1" thickBot="1" x14ac:dyDescent="0.3">
      <c r="B29" s="209"/>
      <c r="C29" s="210"/>
      <c r="D29" s="261"/>
      <c r="E29" s="206"/>
      <c r="F29" s="206"/>
      <c r="G29" s="219"/>
      <c r="H29" s="206"/>
      <c r="I29" s="220"/>
      <c r="J29" s="211"/>
    </row>
    <row r="30" spans="2:10" ht="18.75" hidden="1" customHeight="1" thickBot="1" x14ac:dyDescent="0.3">
      <c r="B30" s="209"/>
      <c r="C30" s="210"/>
      <c r="D30" s="260" t="s">
        <v>794</v>
      </c>
      <c r="E30" s="1211" t="s">
        <v>621</v>
      </c>
      <c r="F30" s="1211"/>
      <c r="G30" s="221"/>
      <c r="H30" s="1247"/>
      <c r="I30" s="1247"/>
      <c r="J30" s="211"/>
    </row>
    <row r="31" spans="2:10" ht="6.75" hidden="1" customHeight="1" thickBot="1" x14ac:dyDescent="0.3">
      <c r="B31" s="209"/>
      <c r="C31" s="210"/>
      <c r="D31" s="261"/>
      <c r="E31" s="206"/>
      <c r="F31" s="206"/>
      <c r="G31" s="210"/>
      <c r="H31" s="210"/>
      <c r="I31" s="210"/>
      <c r="J31" s="211"/>
    </row>
    <row r="32" spans="2:10" ht="27.75" hidden="1" customHeight="1" thickBot="1" x14ac:dyDescent="0.3">
      <c r="B32" s="209"/>
      <c r="C32" s="210"/>
      <c r="D32" s="260" t="s">
        <v>796</v>
      </c>
      <c r="E32" s="1248" t="s">
        <v>622</v>
      </c>
      <c r="F32" s="1249"/>
      <c r="G32" s="1237"/>
      <c r="H32" s="1238"/>
      <c r="I32" s="1239"/>
      <c r="J32" s="211"/>
    </row>
    <row r="33" spans="2:10" ht="6.75" hidden="1" customHeight="1" thickBot="1" x14ac:dyDescent="0.3">
      <c r="B33" s="209"/>
      <c r="C33" s="210"/>
      <c r="D33" s="261"/>
      <c r="E33" s="206"/>
      <c r="F33" s="206"/>
      <c r="G33" s="210"/>
      <c r="H33" s="210"/>
      <c r="I33" s="210"/>
      <c r="J33" s="211"/>
    </row>
    <row r="34" spans="2:10" ht="17.25" hidden="1" customHeight="1" thickBot="1" x14ac:dyDescent="0.3">
      <c r="B34" s="209"/>
      <c r="C34" s="210"/>
      <c r="D34" s="260" t="s">
        <v>797</v>
      </c>
      <c r="E34" s="215" t="s">
        <v>623</v>
      </c>
      <c r="F34" s="215"/>
      <c r="G34" s="1205"/>
      <c r="H34" s="1206"/>
      <c r="I34" s="1207"/>
      <c r="J34" s="211"/>
    </row>
    <row r="35" spans="2:10" ht="6.75" hidden="1" customHeight="1" thickBot="1" x14ac:dyDescent="0.3">
      <c r="B35" s="209"/>
      <c r="C35" s="210"/>
      <c r="D35" s="261"/>
      <c r="E35" s="206"/>
      <c r="F35" s="206"/>
      <c r="G35" s="210"/>
      <c r="H35" s="210"/>
      <c r="I35" s="210"/>
      <c r="J35" s="211"/>
    </row>
    <row r="36" spans="2:10" ht="18" hidden="1" customHeight="1" thickBot="1" x14ac:dyDescent="0.3">
      <c r="B36" s="209"/>
      <c r="C36" s="210"/>
      <c r="D36" s="260" t="s">
        <v>798</v>
      </c>
      <c r="E36" s="1211" t="s">
        <v>624</v>
      </c>
      <c r="F36" s="1217"/>
      <c r="G36" s="1205"/>
      <c r="H36" s="1206"/>
      <c r="I36" s="1207"/>
      <c r="J36" s="211"/>
    </row>
    <row r="37" spans="2:10" ht="8.25" hidden="1" customHeight="1" thickBot="1" x14ac:dyDescent="0.3">
      <c r="B37" s="209"/>
      <c r="C37" s="210"/>
      <c r="D37" s="254"/>
      <c r="E37" s="1218"/>
      <c r="F37" s="1218"/>
      <c r="G37" s="1218"/>
      <c r="H37" s="1218"/>
      <c r="I37" s="217"/>
      <c r="J37" s="211"/>
    </row>
    <row r="38" spans="2:10" ht="39" customHeight="1" thickBot="1" x14ac:dyDescent="0.3">
      <c r="B38" s="1219" t="s">
        <v>1313</v>
      </c>
      <c r="C38" s="1220"/>
      <c r="D38" s="1220"/>
      <c r="E38" s="1220"/>
      <c r="F38" s="1220"/>
      <c r="G38" s="1220"/>
      <c r="H38" s="1220"/>
      <c r="I38" s="1220"/>
      <c r="J38" s="1221"/>
    </row>
    <row r="39" spans="2:10" ht="4.5" customHeight="1" x14ac:dyDescent="0.25">
      <c r="B39" s="209"/>
      <c r="C39" s="210"/>
      <c r="D39" s="255"/>
      <c r="E39" s="206"/>
      <c r="F39" s="206"/>
      <c r="G39" s="210"/>
      <c r="H39" s="210"/>
      <c r="I39" s="210"/>
      <c r="J39" s="211"/>
    </row>
    <row r="40" spans="2:10" ht="4.5" customHeight="1" thickBot="1" x14ac:dyDescent="0.3">
      <c r="B40" s="209"/>
      <c r="C40" s="210"/>
      <c r="D40" s="255"/>
      <c r="E40" s="206"/>
      <c r="F40" s="206"/>
      <c r="G40" s="210"/>
      <c r="H40" s="210"/>
      <c r="I40" s="210"/>
      <c r="J40" s="211"/>
    </row>
    <row r="41" spans="2:10" ht="30.75" customHeight="1" thickBot="1" x14ac:dyDescent="0.3">
      <c r="B41" s="209"/>
      <c r="C41" s="210"/>
      <c r="D41" s="254">
        <v>906</v>
      </c>
      <c r="E41" s="1211" t="s">
        <v>625</v>
      </c>
      <c r="F41" s="1211"/>
      <c r="G41" s="218"/>
      <c r="H41" s="307" t="str">
        <f>IF(G41="","This Question must be answered before uploading, the report will not be processed if left blank","")</f>
        <v>This Question must be answered before uploading, the report will not be processed if left blank</v>
      </c>
      <c r="I41" s="210"/>
      <c r="J41" s="211"/>
    </row>
    <row r="42" spans="2:10" ht="6.75" customHeight="1" thickBot="1" x14ac:dyDescent="0.3">
      <c r="B42" s="209"/>
      <c r="C42" s="210"/>
      <c r="D42" s="254"/>
      <c r="E42" s="215"/>
      <c r="F42" s="215"/>
      <c r="G42" s="219"/>
      <c r="H42" s="210"/>
      <c r="I42" s="210"/>
      <c r="J42" s="211"/>
    </row>
    <row r="43" spans="2:10" ht="32.25" customHeight="1" thickBot="1" x14ac:dyDescent="0.3">
      <c r="B43" s="209"/>
      <c r="C43" s="210"/>
      <c r="D43" s="254">
        <v>907</v>
      </c>
      <c r="E43" s="1211" t="s">
        <v>626</v>
      </c>
      <c r="F43" s="1211"/>
      <c r="G43" s="218"/>
      <c r="H43" s="307" t="str">
        <f>IF(G43="","This Question must be answered before uploading, the report will not be processed if left blank","")</f>
        <v>This Question must be answered before uploading, the report will not be processed if left blank</v>
      </c>
      <c r="I43" s="210"/>
      <c r="J43" s="211"/>
    </row>
    <row r="44" spans="2:10" ht="6.75" customHeight="1" thickBot="1" x14ac:dyDescent="0.3">
      <c r="B44" s="209"/>
      <c r="C44" s="210"/>
      <c r="D44" s="254"/>
      <c r="E44" s="215"/>
      <c r="F44" s="215"/>
      <c r="G44" s="219"/>
      <c r="H44" s="210"/>
      <c r="I44" s="210"/>
      <c r="J44" s="211"/>
    </row>
    <row r="45" spans="2:10" ht="32.25" customHeight="1" thickBot="1" x14ac:dyDescent="0.3">
      <c r="B45" s="209"/>
      <c r="C45" s="210"/>
      <c r="D45" s="254">
        <v>951</v>
      </c>
      <c r="E45" s="1211" t="s">
        <v>627</v>
      </c>
      <c r="F45" s="1211"/>
      <c r="G45" s="218"/>
      <c r="H45" s="307" t="str">
        <f>IF(G45="","This Question must be answered before uploading, the report will not be processed if left blank","")</f>
        <v>This Question must be answered before uploading, the report will not be processed if left blank</v>
      </c>
      <c r="I45" s="206"/>
      <c r="J45" s="211"/>
    </row>
    <row r="46" spans="2:10" ht="6.75" customHeight="1" thickBot="1" x14ac:dyDescent="0.3">
      <c r="B46" s="209"/>
      <c r="C46" s="210"/>
      <c r="D46" s="254"/>
      <c r="E46" s="215"/>
      <c r="F46" s="215"/>
      <c r="G46" s="219"/>
      <c r="H46" s="210"/>
      <c r="I46" s="210"/>
      <c r="J46" s="211"/>
    </row>
    <row r="47" spans="2:10" ht="33" customHeight="1" thickBot="1" x14ac:dyDescent="0.3">
      <c r="B47" s="209"/>
      <c r="C47" s="210"/>
      <c r="D47" s="254">
        <v>953</v>
      </c>
      <c r="E47" s="1211" t="s">
        <v>628</v>
      </c>
      <c r="F47" s="1211"/>
      <c r="G47" s="218"/>
      <c r="H47" s="307" t="str">
        <f>IF(G47="","This Question must be answered before uploading, the report will not be processed if left blank","")</f>
        <v>This Question must be answered before uploading, the report will not be processed if left blank</v>
      </c>
      <c r="I47" s="206"/>
      <c r="J47" s="211"/>
    </row>
    <row r="48" spans="2:10" ht="6.75" customHeight="1" thickBot="1" x14ac:dyDescent="0.3">
      <c r="B48" s="209"/>
      <c r="C48" s="210"/>
      <c r="D48" s="256"/>
      <c r="E48" s="215"/>
      <c r="F48" s="215"/>
      <c r="G48" s="219"/>
      <c r="H48" s="210"/>
      <c r="I48" s="210"/>
      <c r="J48" s="211"/>
    </row>
    <row r="49" spans="2:43" ht="32.25" customHeight="1" thickBot="1" x14ac:dyDescent="0.3">
      <c r="B49" s="209"/>
      <c r="C49" s="210"/>
      <c r="D49" s="254">
        <v>955</v>
      </c>
      <c r="E49" s="1211" t="s">
        <v>629</v>
      </c>
      <c r="F49" s="1211"/>
      <c r="G49" s="223"/>
      <c r="H49" s="307" t="str">
        <f>IF(G49="","This Question must be answered before uploading, the report will not be processed if left blank","")</f>
        <v>This Question must be answered before uploading, the report will not be processed if left blank</v>
      </c>
      <c r="I49" s="224"/>
      <c r="J49" s="225"/>
    </row>
    <row r="50" spans="2:43" ht="6.75" customHeight="1" thickBot="1" x14ac:dyDescent="0.3">
      <c r="B50" s="209"/>
      <c r="C50" s="210"/>
      <c r="D50" s="254"/>
      <c r="E50" s="215"/>
      <c r="F50" s="215"/>
      <c r="G50" s="219"/>
      <c r="H50" s="224"/>
      <c r="I50" s="224"/>
      <c r="J50" s="225"/>
    </row>
    <row r="51" spans="2:43" ht="39.75" customHeight="1" thickBot="1" x14ac:dyDescent="0.3">
      <c r="B51" s="209"/>
      <c r="C51" s="210"/>
      <c r="D51" s="254">
        <v>957</v>
      </c>
      <c r="E51" s="1211" t="s">
        <v>630</v>
      </c>
      <c r="F51" s="1211"/>
      <c r="G51" s="223"/>
      <c r="H51" s="307" t="str">
        <f>IF(G51="","This Question must be answered before uploading, the report will not be processed if left blank","")</f>
        <v>This Question must be answered before uploading, the report will not be processed if left blank</v>
      </c>
      <c r="I51" s="224"/>
      <c r="J51" s="225"/>
    </row>
    <row r="52" spans="2:43" ht="9.75" customHeight="1" thickBot="1" x14ac:dyDescent="0.3">
      <c r="B52" s="209"/>
      <c r="C52" s="210"/>
      <c r="D52" s="255"/>
      <c r="E52" s="206"/>
      <c r="F52" s="206"/>
      <c r="G52" s="210"/>
      <c r="H52" s="210"/>
      <c r="I52" s="210"/>
      <c r="J52" s="211"/>
    </row>
    <row r="53" spans="2:43" ht="35.1" customHeight="1" thickBot="1" x14ac:dyDescent="0.3">
      <c r="B53" s="209"/>
      <c r="C53" s="210"/>
      <c r="D53" s="254">
        <v>959</v>
      </c>
      <c r="E53" s="1216" t="s">
        <v>1049</v>
      </c>
      <c r="F53" s="1216"/>
      <c r="G53" s="218"/>
      <c r="H53" s="307" t="str">
        <f>IF(G53="","This Question must be answered before uploading, the report will not be processed if left blank","")</f>
        <v>This Question must be answered before uploading, the report will not be processed if left blank</v>
      </c>
      <c r="I53" s="210"/>
      <c r="J53" s="211"/>
    </row>
    <row r="54" spans="2:43" ht="8.25" customHeight="1" thickBot="1" x14ac:dyDescent="0.3">
      <c r="B54" s="209"/>
      <c r="C54" s="210"/>
      <c r="D54" s="254"/>
      <c r="E54" s="386"/>
      <c r="F54" s="386"/>
      <c r="G54" s="210"/>
      <c r="H54" s="210"/>
      <c r="I54" s="210"/>
      <c r="J54" s="211"/>
    </row>
    <row r="55" spans="2:43" ht="67.5" hidden="1" customHeight="1" thickBot="1" x14ac:dyDescent="0.3">
      <c r="B55" s="209"/>
      <c r="C55" s="226"/>
      <c r="D55" s="254">
        <v>973</v>
      </c>
      <c r="E55" s="1216" t="s">
        <v>1123</v>
      </c>
      <c r="F55" s="1216"/>
      <c r="G55" s="391"/>
      <c r="H55" s="307" t="str">
        <f>IF(G55="","This Question must be answered before uploading, the report will not be processed if left blank","")</f>
        <v>This Question must be answered before uploading, the report will not be processed if left blank</v>
      </c>
      <c r="I55" s="280"/>
      <c r="J55" s="211"/>
    </row>
    <row r="56" spans="2:43" ht="6.75" hidden="1" customHeight="1" thickBot="1" x14ac:dyDescent="0.3">
      <c r="B56" s="209"/>
      <c r="C56" s="226"/>
      <c r="D56" s="257"/>
      <c r="E56" s="206"/>
      <c r="F56" s="206"/>
      <c r="G56" s="253"/>
      <c r="H56" s="210"/>
      <c r="I56" s="210"/>
      <c r="J56" s="211"/>
    </row>
    <row r="57" spans="2:43" ht="98.25" customHeight="1" thickBot="1" x14ac:dyDescent="0.3">
      <c r="B57" s="209"/>
      <c r="C57" s="210"/>
      <c r="D57" s="254">
        <v>974</v>
      </c>
      <c r="E57" s="1211" t="s">
        <v>1053</v>
      </c>
      <c r="F57" s="1212"/>
      <c r="G57" s="218"/>
      <c r="H57" s="306" t="str">
        <f>IF(G57="","This Question must be answered before uploading, the report will not be processed if left blank","")</f>
        <v>This Question must be answered before uploading, the report will not be processed if left blank</v>
      </c>
      <c r="I57" s="227"/>
      <c r="J57" s="211"/>
    </row>
    <row r="58" spans="2:43" ht="12.6" hidden="1" customHeight="1" x14ac:dyDescent="0.25">
      <c r="B58" s="209"/>
      <c r="C58" s="210"/>
      <c r="D58" s="254"/>
      <c r="E58" s="215"/>
      <c r="F58" s="215"/>
      <c r="G58" s="219"/>
      <c r="H58" s="210"/>
      <c r="I58" s="210"/>
      <c r="J58" s="211"/>
    </row>
    <row r="59" spans="2:43" ht="10.15" hidden="1" customHeight="1" thickBot="1" x14ac:dyDescent="0.3">
      <c r="B59" s="209"/>
      <c r="C59" s="210"/>
      <c r="D59" s="254"/>
      <c r="E59" s="215"/>
      <c r="F59" s="215"/>
      <c r="G59" s="219"/>
      <c r="H59" s="206"/>
      <c r="I59" s="210"/>
      <c r="J59" s="211"/>
    </row>
    <row r="60" spans="2:43" ht="20.45" hidden="1" customHeight="1" thickBot="1" x14ac:dyDescent="0.3">
      <c r="B60" s="209"/>
      <c r="C60" s="210"/>
      <c r="D60" s="254">
        <v>965</v>
      </c>
      <c r="E60" s="1211" t="s">
        <v>631</v>
      </c>
      <c r="F60" s="1211"/>
      <c r="G60" s="221"/>
      <c r="H60" s="307" t="str">
        <f>IF(G60="","This Question must be answered before uploading, the report will not be processed if left blank","")</f>
        <v>This Question must be answered before uploading, the report will not be processed if left blank</v>
      </c>
      <c r="I60" s="220"/>
      <c r="J60" s="211"/>
    </row>
    <row r="61" spans="2:43" ht="8.4499999999999993" customHeight="1" thickBot="1" x14ac:dyDescent="0.3">
      <c r="B61" s="209"/>
      <c r="C61" s="210"/>
      <c r="D61" s="255"/>
      <c r="E61" s="206"/>
      <c r="F61" s="206"/>
      <c r="G61" s="219"/>
      <c r="H61" s="206"/>
      <c r="I61" s="220"/>
      <c r="J61" s="211"/>
    </row>
    <row r="62" spans="2:43" s="232" customFormat="1" ht="30.75" customHeight="1" thickBot="1" x14ac:dyDescent="0.3">
      <c r="B62" s="228"/>
      <c r="C62" s="229"/>
      <c r="D62" s="254" t="s">
        <v>859</v>
      </c>
      <c r="E62" s="230" t="s">
        <v>632</v>
      </c>
      <c r="F62" s="231" t="str">
        <f>IF(G62="Yes", "Please Submit Management Letter","")</f>
        <v/>
      </c>
      <c r="G62" s="218"/>
      <c r="H62" s="307" t="str">
        <f>IF(G62="","This Question must be answered before uploading, the report will not be processed if left blank","")</f>
        <v>This Question must be answered before uploading, the report will not be processed if left blank</v>
      </c>
      <c r="I62" s="279"/>
      <c r="J62" s="211"/>
      <c r="K62"/>
      <c r="L62"/>
      <c r="M62"/>
      <c r="N62"/>
      <c r="O62"/>
      <c r="P62"/>
      <c r="Q62"/>
      <c r="R62"/>
      <c r="S62"/>
      <c r="T62"/>
      <c r="U62"/>
      <c r="V62"/>
      <c r="W62"/>
      <c r="X62"/>
      <c r="Y62"/>
      <c r="Z62"/>
      <c r="AA62"/>
      <c r="AB62"/>
      <c r="AC62"/>
      <c r="AD62"/>
      <c r="AE62"/>
      <c r="AF62"/>
      <c r="AG62"/>
      <c r="AH62"/>
      <c r="AI62"/>
      <c r="AJ62"/>
      <c r="AK62"/>
      <c r="AL62"/>
      <c r="AM62"/>
      <c r="AN62"/>
      <c r="AO62"/>
      <c r="AP62"/>
      <c r="AQ62" s="222"/>
    </row>
    <row r="63" spans="2:43" s="232" customFormat="1" ht="9.75" customHeight="1" thickBot="1" x14ac:dyDescent="0.3">
      <c r="B63" s="228"/>
      <c r="C63" s="229"/>
      <c r="D63" s="255"/>
      <c r="E63" s="233"/>
      <c r="F63" s="234"/>
      <c r="G63" s="219"/>
      <c r="H63" s="206"/>
      <c r="I63" s="220"/>
      <c r="J63" s="211"/>
      <c r="K63"/>
      <c r="L63"/>
      <c r="M63"/>
      <c r="N63"/>
      <c r="O63"/>
      <c r="P63"/>
      <c r="Q63"/>
      <c r="R63"/>
      <c r="S63"/>
      <c r="T63"/>
      <c r="U63"/>
      <c r="V63"/>
      <c r="W63"/>
      <c r="X63"/>
      <c r="Y63"/>
      <c r="Z63"/>
      <c r="AA63"/>
      <c r="AB63"/>
      <c r="AC63"/>
      <c r="AD63"/>
      <c r="AE63"/>
      <c r="AF63"/>
      <c r="AG63"/>
      <c r="AH63"/>
      <c r="AI63"/>
      <c r="AJ63"/>
      <c r="AK63"/>
      <c r="AL63"/>
      <c r="AM63"/>
      <c r="AN63"/>
      <c r="AO63"/>
      <c r="AP63"/>
      <c r="AQ63" s="222"/>
    </row>
    <row r="64" spans="2:43" s="232" customFormat="1" ht="31.5" customHeight="1" thickBot="1" x14ac:dyDescent="0.3">
      <c r="B64" s="228"/>
      <c r="C64" s="229"/>
      <c r="D64" s="254" t="s">
        <v>860</v>
      </c>
      <c r="E64" s="230" t="s">
        <v>633</v>
      </c>
      <c r="F64" s="231" t="str">
        <f>IF(G64="Yes", "Please Submit AU-C 260 Letter","")</f>
        <v/>
      </c>
      <c r="G64" s="218"/>
      <c r="H64" s="307" t="str">
        <f>IF(G64="","This Question must be answered before uploading, the report will not be processed if left blank","")</f>
        <v>This Question must be answered before uploading, the report will not be processed if left blank</v>
      </c>
      <c r="I64" s="279"/>
      <c r="J64" s="211"/>
      <c r="K64"/>
      <c r="L64"/>
      <c r="M64"/>
      <c r="N64"/>
      <c r="O64"/>
      <c r="P64"/>
      <c r="Q64"/>
      <c r="R64"/>
      <c r="S64"/>
      <c r="T64"/>
      <c r="U64"/>
      <c r="V64"/>
      <c r="W64"/>
      <c r="X64"/>
      <c r="Y64"/>
      <c r="Z64"/>
      <c r="AA64"/>
      <c r="AB64"/>
      <c r="AC64"/>
      <c r="AD64"/>
      <c r="AE64"/>
      <c r="AF64"/>
      <c r="AG64"/>
      <c r="AH64"/>
      <c r="AI64"/>
      <c r="AJ64"/>
      <c r="AK64"/>
      <c r="AL64"/>
      <c r="AM64"/>
      <c r="AN64"/>
      <c r="AO64"/>
      <c r="AP64"/>
      <c r="AQ64" s="222"/>
    </row>
    <row r="65" spans="2:43" s="232" customFormat="1" ht="8.25" customHeight="1" thickBot="1" x14ac:dyDescent="0.3">
      <c r="B65" s="228"/>
      <c r="C65" s="229"/>
      <c r="D65" s="255"/>
      <c r="E65" s="235"/>
      <c r="F65" s="234"/>
      <c r="G65" s="219"/>
      <c r="H65" s="206"/>
      <c r="I65" s="220"/>
      <c r="J65" s="211"/>
      <c r="K65"/>
      <c r="L65"/>
      <c r="M65"/>
      <c r="N65"/>
      <c r="O65"/>
      <c r="P65"/>
      <c r="Q65"/>
      <c r="R65"/>
      <c r="S65"/>
      <c r="T65"/>
      <c r="U65"/>
      <c r="V65"/>
      <c r="W65"/>
      <c r="X65"/>
      <c r="Y65"/>
      <c r="Z65"/>
      <c r="AA65"/>
      <c r="AB65"/>
      <c r="AC65"/>
      <c r="AD65"/>
      <c r="AE65"/>
      <c r="AF65"/>
      <c r="AG65"/>
      <c r="AH65"/>
      <c r="AI65"/>
      <c r="AJ65"/>
      <c r="AK65"/>
      <c r="AL65"/>
      <c r="AM65"/>
      <c r="AN65"/>
      <c r="AO65"/>
      <c r="AP65"/>
      <c r="AQ65" s="222"/>
    </row>
    <row r="66" spans="2:43" s="232" customFormat="1" ht="33.75" customHeight="1" thickBot="1" x14ac:dyDescent="0.3">
      <c r="B66" s="228"/>
      <c r="C66" s="229"/>
      <c r="D66" s="254" t="s">
        <v>861</v>
      </c>
      <c r="E66" s="230" t="s">
        <v>634</v>
      </c>
      <c r="F66" s="231" t="str">
        <f>IF(G66="Yes", "Please Submit AU-C 265 Letter","")</f>
        <v/>
      </c>
      <c r="G66" s="218"/>
      <c r="H66" s="307" t="str">
        <f>IF(G66="","This Question must be answered before uploading, the report will not be processed if left blank","")</f>
        <v>This Question must be answered before uploading, the report will not be processed if left blank</v>
      </c>
      <c r="I66" s="279"/>
      <c r="J66" s="211"/>
      <c r="K66"/>
      <c r="L66"/>
      <c r="M66"/>
      <c r="N66"/>
      <c r="O66"/>
      <c r="P66"/>
      <c r="Q66"/>
      <c r="R66"/>
      <c r="S66"/>
      <c r="T66"/>
      <c r="U66"/>
      <c r="V66"/>
      <c r="W66"/>
      <c r="X66"/>
      <c r="Y66"/>
      <c r="Z66"/>
      <c r="AA66"/>
      <c r="AB66"/>
      <c r="AC66"/>
      <c r="AD66"/>
      <c r="AE66"/>
      <c r="AF66"/>
      <c r="AG66"/>
      <c r="AH66"/>
      <c r="AI66"/>
      <c r="AJ66"/>
      <c r="AK66"/>
      <c r="AL66"/>
      <c r="AM66"/>
      <c r="AN66"/>
      <c r="AO66"/>
      <c r="AP66"/>
      <c r="AQ66" s="222"/>
    </row>
    <row r="67" spans="2:43" ht="6.75" customHeight="1" thickBot="1" x14ac:dyDescent="0.3">
      <c r="B67" s="209"/>
      <c r="C67" s="210"/>
      <c r="D67" s="255"/>
      <c r="E67" s="236"/>
      <c r="F67" s="236"/>
      <c r="G67" s="213"/>
      <c r="H67" s="206"/>
      <c r="I67" s="206"/>
      <c r="J67" s="211"/>
    </row>
    <row r="68" spans="2:43" s="232" customFormat="1" ht="35.25" hidden="1" customHeight="1" thickBot="1" x14ac:dyDescent="0.3">
      <c r="B68" s="228"/>
      <c r="C68" s="213"/>
      <c r="D68" s="394">
        <v>977</v>
      </c>
      <c r="E68" s="1213" t="s">
        <v>1034</v>
      </c>
      <c r="F68" s="1214"/>
      <c r="G68" s="392"/>
      <c r="H68" s="307" t="str">
        <f>IF(G68="","This Question must be answered before uploading, the report will not be processed if left blank","")</f>
        <v>This Question must be answered before uploading, the report will not be processed if left blank</v>
      </c>
      <c r="I68" s="220"/>
      <c r="J68" s="211"/>
      <c r="K68"/>
      <c r="L68"/>
      <c r="M68"/>
      <c r="N68"/>
      <c r="O68"/>
      <c r="P68"/>
      <c r="Q68"/>
      <c r="R68"/>
      <c r="S68"/>
      <c r="T68"/>
      <c r="U68"/>
      <c r="V68"/>
      <c r="W68"/>
      <c r="X68"/>
      <c r="Y68"/>
      <c r="Z68"/>
      <c r="AA68"/>
      <c r="AB68"/>
      <c r="AC68"/>
      <c r="AD68"/>
      <c r="AE68"/>
      <c r="AF68"/>
      <c r="AG68"/>
      <c r="AH68"/>
      <c r="AI68"/>
      <c r="AJ68"/>
      <c r="AK68"/>
      <c r="AL68"/>
      <c r="AM68"/>
      <c r="AN68"/>
      <c r="AO68"/>
      <c r="AP68"/>
      <c r="AQ68" s="222"/>
    </row>
    <row r="69" spans="2:43" s="232" customFormat="1" ht="8.25" hidden="1" customHeight="1" thickBot="1" x14ac:dyDescent="0.3">
      <c r="B69" s="228"/>
      <c r="C69" s="213"/>
      <c r="D69" s="254"/>
      <c r="E69" s="262"/>
      <c r="F69" s="263"/>
      <c r="G69" s="219"/>
      <c r="H69" s="206"/>
      <c r="I69" s="220"/>
      <c r="J69" s="211"/>
      <c r="K69"/>
      <c r="L69"/>
      <c r="M69"/>
      <c r="N69"/>
      <c r="O69"/>
      <c r="P69"/>
      <c r="Q69"/>
      <c r="R69"/>
      <c r="S69"/>
      <c r="T69"/>
      <c r="U69"/>
      <c r="V69"/>
      <c r="W69"/>
      <c r="X69"/>
      <c r="Y69"/>
      <c r="Z69"/>
      <c r="AA69"/>
      <c r="AB69"/>
      <c r="AC69"/>
      <c r="AD69"/>
      <c r="AE69"/>
      <c r="AF69"/>
      <c r="AG69"/>
      <c r="AH69"/>
      <c r="AI69"/>
      <c r="AJ69"/>
      <c r="AK69"/>
      <c r="AL69"/>
      <c r="AM69"/>
      <c r="AN69"/>
      <c r="AO69"/>
      <c r="AP69"/>
      <c r="AQ69" s="222"/>
    </row>
    <row r="70" spans="2:43" s="232" customFormat="1" ht="30" customHeight="1" thickBot="1" x14ac:dyDescent="0.3">
      <c r="B70" s="228"/>
      <c r="C70" s="213"/>
      <c r="D70" s="394">
        <v>978</v>
      </c>
      <c r="E70" s="1213" t="s">
        <v>800</v>
      </c>
      <c r="F70" s="1214"/>
      <c r="G70" s="392"/>
      <c r="H70" s="307" t="str">
        <f>IF(G70="","This Question must be answered before uploading, the report will not be processed if left blank","")</f>
        <v>This Question must be answered before uploading, the report will not be processed if left blank</v>
      </c>
      <c r="I70" s="220"/>
      <c r="J70" s="211"/>
      <c r="K70"/>
      <c r="L70"/>
      <c r="M70"/>
      <c r="N70"/>
      <c r="O70"/>
      <c r="P70"/>
      <c r="Q70"/>
      <c r="R70"/>
      <c r="S70"/>
      <c r="T70"/>
      <c r="U70"/>
      <c r="V70"/>
      <c r="W70"/>
      <c r="X70"/>
      <c r="Y70"/>
      <c r="Z70"/>
      <c r="AA70"/>
      <c r="AB70"/>
      <c r="AC70"/>
      <c r="AD70"/>
      <c r="AE70"/>
      <c r="AF70"/>
      <c r="AG70"/>
      <c r="AH70"/>
      <c r="AI70"/>
      <c r="AJ70"/>
      <c r="AK70"/>
      <c r="AL70"/>
      <c r="AM70"/>
      <c r="AN70"/>
      <c r="AO70"/>
      <c r="AP70"/>
      <c r="AQ70" s="222"/>
    </row>
    <row r="71" spans="2:43" s="232" customFormat="1" ht="8.25" customHeight="1" thickBot="1" x14ac:dyDescent="0.3">
      <c r="B71" s="228"/>
      <c r="C71" s="213"/>
      <c r="D71" s="394"/>
      <c r="E71" s="262"/>
      <c r="F71" s="263"/>
      <c r="G71" s="219"/>
      <c r="H71" s="206"/>
      <c r="I71" s="220"/>
      <c r="J71" s="211"/>
      <c r="K71"/>
      <c r="L71"/>
      <c r="M71"/>
      <c r="N71"/>
      <c r="O71"/>
      <c r="P71"/>
      <c r="Q71"/>
      <c r="R71"/>
      <c r="S71"/>
      <c r="T71"/>
      <c r="U71"/>
      <c r="V71"/>
      <c r="W71"/>
      <c r="X71"/>
      <c r="Y71"/>
      <c r="Z71"/>
      <c r="AA71"/>
      <c r="AB71"/>
      <c r="AC71"/>
      <c r="AD71"/>
      <c r="AE71"/>
      <c r="AF71"/>
      <c r="AG71"/>
      <c r="AH71"/>
      <c r="AI71"/>
      <c r="AJ71"/>
      <c r="AK71"/>
      <c r="AL71"/>
      <c r="AM71"/>
      <c r="AN71"/>
      <c r="AO71"/>
      <c r="AP71"/>
      <c r="AQ71" s="222"/>
    </row>
    <row r="72" spans="2:43" s="232" customFormat="1" ht="36.75" customHeight="1" thickBot="1" x14ac:dyDescent="0.3">
      <c r="B72" s="228"/>
      <c r="C72" s="213"/>
      <c r="D72" s="394">
        <v>979</v>
      </c>
      <c r="E72" s="1213" t="s">
        <v>1396</v>
      </c>
      <c r="F72" s="1214"/>
      <c r="G72" s="392"/>
      <c r="H72" s="307" t="str">
        <f>IF(G72="","This Question must be answered before uploading, the report will not be processed if left blank","")</f>
        <v>This Question must be answered before uploading, the report will not be processed if left blank</v>
      </c>
      <c r="I72" s="220"/>
      <c r="J72" s="211"/>
      <c r="K72"/>
      <c r="L72"/>
      <c r="M72"/>
      <c r="N72"/>
      <c r="O72"/>
      <c r="P72"/>
      <c r="Q72"/>
      <c r="R72"/>
      <c r="S72"/>
      <c r="T72"/>
      <c r="U72"/>
      <c r="V72"/>
      <c r="W72"/>
      <c r="X72"/>
      <c r="Y72"/>
      <c r="Z72"/>
      <c r="AA72"/>
      <c r="AB72"/>
      <c r="AC72"/>
      <c r="AD72"/>
      <c r="AE72"/>
      <c r="AF72"/>
      <c r="AG72"/>
      <c r="AH72"/>
      <c r="AI72"/>
      <c r="AJ72"/>
      <c r="AK72"/>
      <c r="AL72"/>
      <c r="AM72"/>
      <c r="AN72"/>
      <c r="AO72"/>
      <c r="AP72"/>
      <c r="AQ72" s="222"/>
    </row>
    <row r="73" spans="2:43" s="264" customFormat="1" ht="6.75" customHeight="1" thickBot="1" x14ac:dyDescent="0.3">
      <c r="B73" s="228"/>
      <c r="C73" s="213"/>
      <c r="D73" s="254"/>
      <c r="E73" s="262"/>
      <c r="F73" s="263"/>
      <c r="G73" s="219"/>
      <c r="H73" s="206"/>
      <c r="I73" s="220"/>
      <c r="J73" s="211"/>
      <c r="K73"/>
      <c r="L73"/>
      <c r="M73"/>
      <c r="N73"/>
      <c r="O73"/>
      <c r="P73"/>
      <c r="Q73"/>
      <c r="R73"/>
      <c r="S73"/>
      <c r="T73"/>
      <c r="U73"/>
      <c r="V73"/>
      <c r="W73"/>
      <c r="X73"/>
      <c r="Y73"/>
      <c r="Z73"/>
      <c r="AA73"/>
      <c r="AB73"/>
      <c r="AC73"/>
      <c r="AD73"/>
      <c r="AE73"/>
      <c r="AF73"/>
      <c r="AG73"/>
      <c r="AH73"/>
      <c r="AI73"/>
      <c r="AJ73"/>
      <c r="AK73"/>
      <c r="AL73"/>
      <c r="AM73"/>
      <c r="AN73"/>
      <c r="AO73"/>
      <c r="AP73"/>
      <c r="AQ73" s="265"/>
    </row>
    <row r="74" spans="2:43" s="232" customFormat="1" ht="39" customHeight="1" thickBot="1" x14ac:dyDescent="0.3">
      <c r="B74" s="228"/>
      <c r="C74" s="213"/>
      <c r="D74" s="394">
        <v>980</v>
      </c>
      <c r="E74" s="1215" t="s">
        <v>799</v>
      </c>
      <c r="F74" s="1215"/>
      <c r="G74" s="393"/>
      <c r="H74" s="307" t="str">
        <f>IF(G74="","This Question must be answered before uploading, the report will not be processed if left blank","")</f>
        <v>This Question must be answered before uploading, the report will not be processed if left blank</v>
      </c>
      <c r="I74" s="220"/>
      <c r="J74" s="211"/>
      <c r="K74"/>
      <c r="L74"/>
      <c r="M74"/>
      <c r="N74"/>
      <c r="O74"/>
      <c r="P74"/>
      <c r="Q74"/>
      <c r="R74"/>
      <c r="S74"/>
      <c r="T74"/>
      <c r="U74"/>
      <c r="V74"/>
      <c r="W74"/>
      <c r="X74"/>
      <c r="Y74"/>
      <c r="Z74"/>
      <c r="AA74"/>
      <c r="AB74"/>
      <c r="AC74"/>
      <c r="AD74"/>
      <c r="AE74"/>
      <c r="AF74"/>
      <c r="AG74"/>
      <c r="AH74"/>
      <c r="AI74"/>
      <c r="AJ74"/>
      <c r="AK74"/>
      <c r="AL74"/>
      <c r="AM74"/>
      <c r="AN74"/>
      <c r="AO74"/>
      <c r="AP74"/>
      <c r="AQ74" s="222"/>
    </row>
    <row r="75" spans="2:43" ht="7.15" customHeight="1" thickBot="1" x14ac:dyDescent="0.3">
      <c r="B75" s="209"/>
      <c r="C75" s="210"/>
      <c r="D75" s="254"/>
      <c r="E75" s="308"/>
      <c r="F75" s="308"/>
      <c r="G75" s="219"/>
      <c r="H75" s="210"/>
      <c r="I75" s="210"/>
      <c r="J75" s="211"/>
    </row>
    <row r="76" spans="2:43" s="264" customFormat="1" ht="42" customHeight="1" thickBot="1" x14ac:dyDescent="0.3">
      <c r="B76" s="209"/>
      <c r="C76" s="226"/>
      <c r="D76" s="254">
        <v>975</v>
      </c>
      <c r="E76" s="1211" t="s">
        <v>802</v>
      </c>
      <c r="F76" s="1212"/>
      <c r="G76" s="218"/>
      <c r="H76" s="306" t="str">
        <f>IF(G76="","This Question must be answered before uploading, the report will not be processed if left blank","")</f>
        <v>This Question must be answered before uploading, the report will not be processed if left blank</v>
      </c>
      <c r="I76" s="224"/>
      <c r="J76" s="225"/>
      <c r="K76"/>
      <c r="L76"/>
      <c r="M76"/>
      <c r="N76"/>
      <c r="O76"/>
      <c r="P76"/>
      <c r="Q76"/>
      <c r="R76"/>
      <c r="S76"/>
      <c r="T76"/>
      <c r="U76"/>
      <c r="V76"/>
      <c r="W76"/>
      <c r="X76"/>
      <c r="Y76"/>
      <c r="Z76"/>
      <c r="AA76"/>
      <c r="AB76"/>
      <c r="AC76"/>
      <c r="AD76"/>
      <c r="AE76"/>
      <c r="AF76"/>
      <c r="AG76"/>
      <c r="AH76"/>
      <c r="AI76"/>
      <c r="AJ76"/>
      <c r="AK76"/>
      <c r="AL76"/>
      <c r="AM76"/>
      <c r="AN76"/>
      <c r="AO76"/>
      <c r="AP76"/>
      <c r="AQ76" s="265"/>
    </row>
    <row r="77" spans="2:43" s="264" customFormat="1" ht="6.75" customHeight="1" thickBot="1" x14ac:dyDescent="0.3">
      <c r="B77" s="209"/>
      <c r="C77" s="226"/>
      <c r="D77" s="257"/>
      <c r="E77" s="1211"/>
      <c r="F77" s="1211"/>
      <c r="G77" s="275"/>
      <c r="H77" s="224"/>
      <c r="I77" s="210"/>
      <c r="J77" s="225"/>
      <c r="K77"/>
      <c r="L77"/>
      <c r="M77"/>
      <c r="N77"/>
      <c r="O77"/>
      <c r="P77"/>
      <c r="Q77"/>
      <c r="R77"/>
      <c r="S77"/>
      <c r="T77"/>
      <c r="U77"/>
      <c r="V77"/>
      <c r="W77"/>
      <c r="X77"/>
      <c r="Y77"/>
      <c r="Z77"/>
      <c r="AA77"/>
      <c r="AB77"/>
      <c r="AC77"/>
      <c r="AD77"/>
      <c r="AE77"/>
      <c r="AF77"/>
      <c r="AG77"/>
      <c r="AH77"/>
      <c r="AI77"/>
      <c r="AJ77"/>
      <c r="AK77"/>
      <c r="AL77"/>
      <c r="AM77"/>
      <c r="AN77"/>
      <c r="AO77"/>
      <c r="AP77"/>
      <c r="AQ77" s="265"/>
    </row>
    <row r="78" spans="2:43" ht="61.5" customHeight="1" thickBot="1" x14ac:dyDescent="0.3">
      <c r="B78" s="209"/>
      <c r="C78" s="226"/>
      <c r="D78" s="254">
        <v>976</v>
      </c>
      <c r="E78" s="1211" t="s">
        <v>1006</v>
      </c>
      <c r="F78" s="1212"/>
      <c r="G78" s="218"/>
      <c r="H78" s="306" t="str">
        <f>IF(G78="","This Question must be answered before uploading, the report will not be processed if left blank","")</f>
        <v>This Question must be answered before uploading, the report will not be processed if left blank</v>
      </c>
      <c r="I78" s="224"/>
      <c r="J78" s="225"/>
    </row>
    <row r="79" spans="2:43" ht="39" customHeight="1" thickBot="1" x14ac:dyDescent="0.3">
      <c r="B79" s="197"/>
      <c r="C79" s="198"/>
      <c r="D79" s="199"/>
      <c r="E79" s="200"/>
      <c r="F79" s="201"/>
      <c r="G79" s="274"/>
      <c r="H79" s="201"/>
      <c r="I79" s="201"/>
      <c r="J79" s="202"/>
    </row>
    <row r="80" spans="2:43" ht="10.5" customHeight="1" thickBot="1" x14ac:dyDescent="0.3">
      <c r="B80" s="209"/>
      <c r="C80" s="210"/>
      <c r="D80" s="255"/>
      <c r="E80" s="206"/>
      <c r="F80" s="206"/>
      <c r="G80" s="213"/>
      <c r="H80" s="210"/>
      <c r="I80" s="210"/>
      <c r="J80" s="211"/>
    </row>
    <row r="81" spans="1:10" ht="39" customHeight="1" thickBot="1" x14ac:dyDescent="0.3">
      <c r="B81" s="209"/>
      <c r="C81" s="210"/>
      <c r="D81" s="255" t="s">
        <v>862</v>
      </c>
      <c r="E81" s="1188" t="str">
        <f>IF(G81="","This Question must be answered before uploading, the report will not be processed if left blank","")</f>
        <v>This Question must be answered before uploading, the report will not be processed if left blank</v>
      </c>
      <c r="F81" s="1187" t="s">
        <v>635</v>
      </c>
      <c r="G81" s="1205"/>
      <c r="H81" s="1206"/>
      <c r="I81" s="1207"/>
      <c r="J81" s="211"/>
    </row>
    <row r="82" spans="1:10" ht="6.75" customHeight="1" thickBot="1" x14ac:dyDescent="0.3">
      <c r="B82" s="209"/>
      <c r="C82" s="210"/>
      <c r="D82" s="255"/>
      <c r="E82" s="236"/>
      <c r="F82" s="236"/>
      <c r="G82" s="213"/>
      <c r="H82" s="213"/>
      <c r="I82" s="213"/>
      <c r="J82" s="211"/>
    </row>
    <row r="83" spans="1:10" ht="31.15" customHeight="1" thickBot="1" x14ac:dyDescent="0.3">
      <c r="B83" s="209"/>
      <c r="C83" s="210"/>
      <c r="D83" s="255" t="s">
        <v>863</v>
      </c>
      <c r="E83" s="1188" t="str">
        <f>IF(G83="","This Question must be answered before uploading, the report will not be processed if left blank","")</f>
        <v>This Question must be answered before uploading, the report will not be processed if left blank</v>
      </c>
      <c r="F83" s="1187" t="s">
        <v>636</v>
      </c>
      <c r="G83" s="1205"/>
      <c r="H83" s="1206"/>
      <c r="I83" s="1207"/>
      <c r="J83" s="211"/>
    </row>
    <row r="84" spans="1:10" ht="6.75" customHeight="1" thickBot="1" x14ac:dyDescent="0.3">
      <c r="B84" s="209"/>
      <c r="C84" s="210"/>
      <c r="D84" s="255"/>
      <c r="E84" s="236"/>
      <c r="F84" s="236"/>
      <c r="G84" s="237"/>
      <c r="H84" s="213"/>
      <c r="I84" s="213"/>
      <c r="J84" s="211"/>
    </row>
    <row r="85" spans="1:10" ht="31.9" customHeight="1" thickBot="1" x14ac:dyDescent="0.3">
      <c r="B85" s="209"/>
      <c r="C85" s="210"/>
      <c r="D85" s="255" t="s">
        <v>1557</v>
      </c>
      <c r="E85" s="1188" t="str">
        <f>IF(G85="","This Question must be answered before uploading, the report will not be processed if left blank","")</f>
        <v>This Question must be answered before uploading, the report will not be processed if left blank</v>
      </c>
      <c r="F85" s="1187" t="s">
        <v>1057</v>
      </c>
      <c r="G85" s="214"/>
      <c r="H85" s="213"/>
      <c r="I85" s="213"/>
      <c r="J85" s="211"/>
    </row>
    <row r="86" spans="1:10" ht="6.75" customHeight="1" x14ac:dyDescent="0.25">
      <c r="B86" s="209"/>
      <c r="C86" s="210"/>
      <c r="D86" s="255"/>
      <c r="E86" s="236"/>
      <c r="F86" s="236"/>
      <c r="G86" s="213"/>
      <c r="H86" s="213"/>
      <c r="I86" s="213"/>
      <c r="J86" s="211"/>
    </row>
    <row r="87" spans="1:10" ht="30" hidden="1" customHeight="1" x14ac:dyDescent="0.25">
      <c r="B87" s="209"/>
      <c r="C87" s="210"/>
      <c r="D87" s="255"/>
      <c r="E87" s="1208"/>
      <c r="F87" s="1208"/>
      <c r="G87" s="238" t="str">
        <f>CONCATENATE(G10," 2021 TD.xlsx")</f>
        <v xml:space="preserve"> 2021 TD.xlsx</v>
      </c>
      <c r="H87" s="238"/>
      <c r="I87" s="239"/>
      <c r="J87" s="211"/>
    </row>
    <row r="88" spans="1:10" ht="18" customHeight="1" x14ac:dyDescent="0.25">
      <c r="B88" s="209"/>
      <c r="C88" s="210"/>
      <c r="D88" s="1209"/>
      <c r="E88" s="1209"/>
      <c r="F88" s="1209"/>
      <c r="G88" s="1210" t="str">
        <f>IF(G11="","","Please review the Transmittal Instructions and your answer to Question 1")</f>
        <v/>
      </c>
      <c r="H88" s="1210"/>
      <c r="I88" s="1210"/>
      <c r="J88" s="211"/>
    </row>
    <row r="89" spans="1:10" ht="17.45" customHeight="1" x14ac:dyDescent="0.25">
      <c r="B89" s="209"/>
      <c r="C89" s="210"/>
      <c r="D89" s="1209"/>
      <c r="E89" s="1209"/>
      <c r="F89" s="1209"/>
      <c r="G89" s="1210" t="str">
        <f>IF(G88="Currently the file name is incorrect, please correct before uploading",CONCATENATE("File current name is ",O89),"")</f>
        <v/>
      </c>
      <c r="H89" s="1210"/>
      <c r="I89" s="240"/>
      <c r="J89" s="241"/>
    </row>
    <row r="90" spans="1:10" ht="6.75" customHeight="1" thickBot="1" x14ac:dyDescent="0.3">
      <c r="B90" s="242"/>
      <c r="C90" s="243"/>
      <c r="D90" s="258"/>
      <c r="E90" s="244"/>
      <c r="F90" s="244"/>
      <c r="G90" s="245"/>
      <c r="H90" s="245"/>
      <c r="I90" s="245"/>
      <c r="J90" s="246"/>
    </row>
    <row r="93" spans="1:10" x14ac:dyDescent="0.25">
      <c r="B93" s="192" t="s">
        <v>637</v>
      </c>
      <c r="D93" s="196"/>
      <c r="E93" s="248">
        <v>1.01</v>
      </c>
      <c r="F93" s="249"/>
    </row>
    <row r="94" spans="1:10" x14ac:dyDescent="0.25">
      <c r="A94" s="196"/>
      <c r="B94" s="192" t="s">
        <v>638</v>
      </c>
      <c r="D94" s="196"/>
      <c r="E94" s="250">
        <v>44427</v>
      </c>
      <c r="F94" s="251"/>
    </row>
    <row r="95" spans="1:10" x14ac:dyDescent="0.25">
      <c r="E95" s="249"/>
      <c r="F95" s="249"/>
    </row>
    <row r="96" spans="1:10" x14ac:dyDescent="0.25">
      <c r="E96" s="259">
        <f>SUBTOTAL(109,D41:D85)</f>
        <v>12450</v>
      </c>
    </row>
  </sheetData>
  <sheetProtection algorithmName="SHA-512" hashValue="gGS/arFj924xfMRG05qnQMXWNl83AVKJO0n3XpykHZXbF5vs7NSjjSit7+jBWf83doEavslaVL7t4MRf1s+/5g==" saltValue="AUTTl5+Y9CUe89SAj6Iglw==" spinCount="100000" sheet="1" selectLockedCells="1"/>
  <mergeCells count="56">
    <mergeCell ref="E20:F20"/>
    <mergeCell ref="G20:I20"/>
    <mergeCell ref="E12:F12"/>
    <mergeCell ref="E14:F14"/>
    <mergeCell ref="E16:F16"/>
    <mergeCell ref="G16:I16"/>
    <mergeCell ref="E18:F18"/>
    <mergeCell ref="G18:I18"/>
    <mergeCell ref="G32:I32"/>
    <mergeCell ref="E22:F22"/>
    <mergeCell ref="G22:I22"/>
    <mergeCell ref="E24:F24"/>
    <mergeCell ref="G24:I24"/>
    <mergeCell ref="E26:F26"/>
    <mergeCell ref="G26:H26"/>
    <mergeCell ref="E27:H27"/>
    <mergeCell ref="E28:F28"/>
    <mergeCell ref="H28:I28"/>
    <mergeCell ref="E30:F30"/>
    <mergeCell ref="H30:I30"/>
    <mergeCell ref="E32:F32"/>
    <mergeCell ref="B7:J7"/>
    <mergeCell ref="E10:F10"/>
    <mergeCell ref="G10:I10"/>
    <mergeCell ref="B5:J5"/>
    <mergeCell ref="B1:J1"/>
    <mergeCell ref="B2:J2"/>
    <mergeCell ref="B3:J3"/>
    <mergeCell ref="E55:F55"/>
    <mergeCell ref="G34:I34"/>
    <mergeCell ref="E36:F36"/>
    <mergeCell ref="G36:I36"/>
    <mergeCell ref="E37:H37"/>
    <mergeCell ref="B38:J38"/>
    <mergeCell ref="E41:F41"/>
    <mergeCell ref="E43:F43"/>
    <mergeCell ref="E45:F45"/>
    <mergeCell ref="E47:F47"/>
    <mergeCell ref="E49:F49"/>
    <mergeCell ref="E51:F51"/>
    <mergeCell ref="E53:F53"/>
    <mergeCell ref="G81:I81"/>
    <mergeCell ref="E78:F78"/>
    <mergeCell ref="E57:F57"/>
    <mergeCell ref="E60:F60"/>
    <mergeCell ref="E68:F68"/>
    <mergeCell ref="E70:F70"/>
    <mergeCell ref="E72:F72"/>
    <mergeCell ref="E76:F76"/>
    <mergeCell ref="E77:F77"/>
    <mergeCell ref="E74:F74"/>
    <mergeCell ref="G83:I83"/>
    <mergeCell ref="E87:F87"/>
    <mergeCell ref="D88:F89"/>
    <mergeCell ref="G88:I88"/>
    <mergeCell ref="G89:H89"/>
  </mergeCells>
  <conditionalFormatting sqref="G10 G41 G43 G45 G47 G49 G57 G66 G60 G51 G76:G78">
    <cfRule type="expression" dxfId="97"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96" priority="41">
      <formula>$T26</formula>
    </cfRule>
  </conditionalFormatting>
  <conditionalFormatting sqref="G41 G43 G45 G47 G49 G60 G62 G64 G66 G30 G32 G51:G57 G78">
    <cfRule type="expression" dxfId="95" priority="40">
      <formula>$G$26="Housing Authority"</formula>
    </cfRule>
  </conditionalFormatting>
  <conditionalFormatting sqref="G14">
    <cfRule type="expression" dxfId="94" priority="39">
      <formula>$T14</formula>
    </cfRule>
  </conditionalFormatting>
  <conditionalFormatting sqref="G12">
    <cfRule type="expression" dxfId="93" priority="38">
      <formula>$T12</formula>
    </cfRule>
  </conditionalFormatting>
  <conditionalFormatting sqref="G85">
    <cfRule type="expression" dxfId="92" priority="37">
      <formula>$T85</formula>
    </cfRule>
  </conditionalFormatting>
  <conditionalFormatting sqref="G81">
    <cfRule type="expression" dxfId="91"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90"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89"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88" priority="25">
      <formula>$G$26="Housing Authority"</formula>
    </cfRule>
  </conditionalFormatting>
  <conditionalFormatting sqref="G64">
    <cfRule type="expression" dxfId="87" priority="30">
      <formula>$T64</formula>
    </cfRule>
  </conditionalFormatting>
  <conditionalFormatting sqref="G64">
    <cfRule type="expression" dxfId="86" priority="29">
      <formula>$G$26="Housing Authority"</formula>
    </cfRule>
  </conditionalFormatting>
  <conditionalFormatting sqref="G66">
    <cfRule type="expression" dxfId="85" priority="28">
      <formula>$G$26="Housing Authority"</formula>
    </cfRule>
  </conditionalFormatting>
  <conditionalFormatting sqref="G62">
    <cfRule type="expression" dxfId="84" priority="27">
      <formula>$T62</formula>
    </cfRule>
  </conditionalFormatting>
  <conditionalFormatting sqref="G62">
    <cfRule type="expression" dxfId="83" priority="26">
      <formula>$G$26="Housing Authority"</formula>
    </cfRule>
  </conditionalFormatting>
  <conditionalFormatting sqref="G31">
    <cfRule type="expression" dxfId="82" priority="24">
      <formula>$T31</formula>
    </cfRule>
  </conditionalFormatting>
  <conditionalFormatting sqref="G28">
    <cfRule type="expression" dxfId="81" priority="23">
      <formula>$T28</formula>
    </cfRule>
  </conditionalFormatting>
  <conditionalFormatting sqref="G28">
    <cfRule type="expression" dxfId="80" priority="22">
      <formula>$G$26="Housing Authority"</formula>
    </cfRule>
  </conditionalFormatting>
  <conditionalFormatting sqref="G30">
    <cfRule type="expression" dxfId="79" priority="21">
      <formula>$T30</formula>
    </cfRule>
  </conditionalFormatting>
  <conditionalFormatting sqref="G16">
    <cfRule type="expression" dxfId="78"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77"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76"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75" priority="12">
      <formula>$G$26="Housing Authority"</formula>
    </cfRule>
  </conditionalFormatting>
  <conditionalFormatting sqref="G32">
    <cfRule type="expression" dxfId="74" priority="13">
      <formula>$P$32</formula>
    </cfRule>
    <cfRule type="expression" dxfId="73" priority="20">
      <formula>$T32</formula>
    </cfRule>
  </conditionalFormatting>
  <conditionalFormatting sqref="G36">
    <cfRule type="expression" dxfId="72" priority="9">
      <formula>$G$26="Housing Authority"</formula>
    </cfRule>
  </conditionalFormatting>
  <conditionalFormatting sqref="G36">
    <cfRule type="expression" dxfId="71" priority="10">
      <formula>$P$32</formula>
    </cfRule>
    <cfRule type="expression" dxfId="70" priority="11">
      <formula>$T36</formula>
    </cfRule>
  </conditionalFormatting>
  <conditionalFormatting sqref="G34">
    <cfRule type="expression" dxfId="69" priority="6">
      <formula>$G$26="Housing Authority"</formula>
    </cfRule>
  </conditionalFormatting>
  <conditionalFormatting sqref="G34">
    <cfRule type="expression" dxfId="68" priority="7">
      <formula>$P$32</formula>
    </cfRule>
    <cfRule type="expression" dxfId="67" priority="8">
      <formula>$T34</formula>
    </cfRule>
  </conditionalFormatting>
  <conditionalFormatting sqref="G24">
    <cfRule type="expression" dxfId="66"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65" priority="3">
      <formula>$T53</formula>
    </cfRule>
  </conditionalFormatting>
  <conditionalFormatting sqref="G76:G77">
    <cfRule type="expression" dxfId="64" priority="1">
      <formula>$G$26="Housing Authority"</formula>
    </cfRule>
  </conditionalFormatting>
  <dataValidations xWindow="873" yWindow="799" count="23">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G77"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73 H69 H71 G81 H79:I80 I68:I78"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date" operator="greaterThan" showInputMessage="1" showErrorMessage="1" promptTitle="MM/DD/YYYY" prompt="This cannot be blank" sqref="G74:G78" xr:uid="{FA296981-A236-46B7-9FFE-5DC3167CFD46}">
      <formula1>44377</formula1>
    </dataValidation>
    <dataValidation type="date" operator="greaterThan" allowBlank="1" showInputMessage="1" showErrorMessage="1" prompt="MM/DD/YYYY" sqref="G74:G78" xr:uid="{362B854A-1333-435D-A562-CD0AC3D0CBDC}">
      <formula1>44012</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E111" sqref="E111"/>
    </sheetView>
  </sheetViews>
  <sheetFormatPr defaultColWidth="9.140625" defaultRowHeight="15" x14ac:dyDescent="0.25"/>
  <cols>
    <col min="1" max="1" width="8.85546875" style="3" customWidth="1"/>
    <col min="2" max="2" width="17.5703125" style="52" bestFit="1" customWidth="1"/>
    <col min="3" max="3" width="36.7109375" style="677" customWidth="1"/>
    <col min="4" max="4" width="20.85546875" style="3" bestFit="1" customWidth="1"/>
    <col min="5" max="5" width="17.5703125" style="3" customWidth="1"/>
    <col min="6" max="6" width="22.7109375" style="3" customWidth="1"/>
    <col min="7" max="7" width="17.42578125" style="576" bestFit="1" customWidth="1"/>
    <col min="8" max="8" width="9.7109375" style="3" bestFit="1" customWidth="1"/>
    <col min="9" max="9" width="1" style="610" customWidth="1"/>
    <col min="10" max="10" width="18.140625" style="5" customWidth="1"/>
    <col min="11" max="11" width="36.85546875" style="9" customWidth="1"/>
    <col min="12" max="12" width="15.42578125" style="685" bestFit="1" customWidth="1"/>
    <col min="13" max="13" width="1.42578125" style="3" customWidth="1"/>
    <col min="14" max="14" width="18.140625" style="3" customWidth="1"/>
    <col min="15" max="15" width="17.85546875" style="3" customWidth="1"/>
    <col min="16" max="16" width="8.7109375" style="302"/>
    <col min="17" max="17" width="10.28515625" style="579" hidden="1" customWidth="1"/>
    <col min="18" max="18" width="7.140625" style="3" hidden="1" customWidth="1"/>
    <col min="19" max="19" width="6" style="3" hidden="1" customWidth="1"/>
    <col min="20" max="20" width="6.7109375" style="3" hidden="1" customWidth="1"/>
    <col min="21" max="21" width="7.5703125" style="3" hidden="1" customWidth="1"/>
    <col min="22" max="22" width="3.42578125" style="3" hidden="1" customWidth="1"/>
    <col min="23" max="23" width="7.28515625" style="3" hidden="1" customWidth="1"/>
    <col min="24" max="24" width="10.5703125" style="3" hidden="1" customWidth="1"/>
    <col min="25" max="25" width="9.85546875" style="3" hidden="1" customWidth="1"/>
    <col min="26" max="26" width="0" style="3" hidden="1" customWidth="1"/>
    <col min="27" max="16384" width="9.140625" style="3"/>
  </cols>
  <sheetData>
    <row r="1" spans="1:25" ht="56.25" x14ac:dyDescent="0.25">
      <c r="C1" s="49" t="s">
        <v>538</v>
      </c>
      <c r="D1" s="13">
        <f>L65-(L52+L53-L57-L58-L233)-L61</f>
        <v>0</v>
      </c>
      <c r="I1" s="577"/>
      <c r="J1" s="48"/>
      <c r="K1" s="14" t="s">
        <v>47</v>
      </c>
      <c r="L1" s="63"/>
      <c r="M1" s="578"/>
      <c r="S1" s="3">
        <v>100</v>
      </c>
      <c r="T1" s="3">
        <v>1</v>
      </c>
    </row>
    <row r="2" spans="1:25" ht="37.5" x14ac:dyDescent="0.35">
      <c r="C2" s="74" t="str">
        <f>'Unit Data from Audit Worksheet'!D2</f>
        <v>Select Unit Name from Drop Down List</v>
      </c>
      <c r="D2" s="143">
        <v>2021</v>
      </c>
      <c r="E2" s="12">
        <v>2021</v>
      </c>
      <c r="F2" s="12"/>
      <c r="G2" s="70"/>
      <c r="H2" s="12"/>
      <c r="I2" s="577"/>
      <c r="J2" s="43" t="s">
        <v>43</v>
      </c>
      <c r="K2" s="8" t="s">
        <v>42</v>
      </c>
      <c r="L2" s="68" t="s">
        <v>30</v>
      </c>
      <c r="S2" s="3">
        <v>200</v>
      </c>
      <c r="T2" s="3">
        <v>2</v>
      </c>
    </row>
    <row r="3" spans="1:25" ht="31.5" x14ac:dyDescent="0.25">
      <c r="A3" s="580" t="s">
        <v>43</v>
      </c>
      <c r="B3" s="581"/>
      <c r="C3" s="46" t="s">
        <v>1</v>
      </c>
      <c r="D3" s="15" t="s">
        <v>44</v>
      </c>
      <c r="E3" s="15" t="s">
        <v>45</v>
      </c>
      <c r="F3" s="16" t="s">
        <v>49</v>
      </c>
      <c r="G3" s="75" t="s">
        <v>351</v>
      </c>
      <c r="H3" s="16" t="s">
        <v>435</v>
      </c>
      <c r="I3" s="577"/>
      <c r="J3" s="582"/>
      <c r="K3" s="144"/>
      <c r="L3" s="583"/>
      <c r="O3" s="3" t="s">
        <v>296</v>
      </c>
      <c r="Q3" s="86" t="s">
        <v>352</v>
      </c>
      <c r="S3" s="3">
        <v>300</v>
      </c>
      <c r="T3" s="3">
        <v>3</v>
      </c>
    </row>
    <row r="4" spans="1:25" ht="18.75" x14ac:dyDescent="0.3">
      <c r="A4" s="584"/>
      <c r="B4" s="585"/>
      <c r="C4" s="50"/>
      <c r="D4" s="7"/>
      <c r="E4" s="7"/>
      <c r="F4" s="7"/>
      <c r="G4" s="71"/>
      <c r="H4" s="7"/>
      <c r="I4" s="577"/>
      <c r="J4" s="45">
        <v>999</v>
      </c>
      <c r="K4" s="11" t="s">
        <v>293</v>
      </c>
      <c r="L4" s="134" t="e">
        <f>'Unit Data from Audit Worksheet'!D3</f>
        <v>#N/A</v>
      </c>
      <c r="S4" s="3">
        <v>400</v>
      </c>
      <c r="T4" s="3">
        <v>4</v>
      </c>
      <c r="W4" s="3" t="b">
        <f t="shared" ref="W4:W35" si="0">EXACT(A4,J4)</f>
        <v>0</v>
      </c>
      <c r="X4" s="586" t="e">
        <f>E4-L4</f>
        <v>#N/A</v>
      </c>
      <c r="Y4" s="586" t="e">
        <f>D4-L4</f>
        <v>#N/A</v>
      </c>
    </row>
    <row r="5" spans="1:25" ht="57" customHeight="1" x14ac:dyDescent="0.25">
      <c r="A5" s="587">
        <f>'Unit Data from Audit Worksheet'!A7</f>
        <v>333</v>
      </c>
      <c r="B5" s="54" t="str">
        <f>'Unit Data from Audit Worksheet'!C7</f>
        <v>Net Position-Governmental Activities</v>
      </c>
      <c r="C5" s="588" t="str">
        <f>'Unit Data from Audit Worksheet'!D7</f>
        <v xml:space="preserve"> All unrestricted Cash and investments.  
Exclude: restricted cash 
                   cash held by a third party. </v>
      </c>
      <c r="D5" s="142"/>
      <c r="E5" s="150">
        <f>'Unit Data from Audit Worksheet'!F7</f>
        <v>0</v>
      </c>
      <c r="F5" s="354">
        <f>IF(L5&lt;0,"Error: Number is normally positive.",)</f>
        <v>0</v>
      </c>
      <c r="G5" s="72"/>
      <c r="H5" s="353">
        <f>'Unit Data from Audit Worksheet'!I7</f>
        <v>0</v>
      </c>
      <c r="I5" s="38"/>
      <c r="J5" s="42">
        <v>333</v>
      </c>
      <c r="K5" s="51" t="s">
        <v>184</v>
      </c>
      <c r="L5" s="589">
        <f>IF(D5="",E5,D5)</f>
        <v>0</v>
      </c>
      <c r="P5" s="322"/>
      <c r="S5" s="3">
        <v>500</v>
      </c>
      <c r="T5" s="3">
        <v>5</v>
      </c>
      <c r="W5" s="3" t="b">
        <f t="shared" si="0"/>
        <v>1</v>
      </c>
      <c r="X5" s="586">
        <f t="shared" ref="X5:X116" si="1">E5-L5</f>
        <v>0</v>
      </c>
      <c r="Y5" s="586">
        <f t="shared" ref="Y5:Y116" si="2">D5-L5</f>
        <v>0</v>
      </c>
    </row>
    <row r="6" spans="1:25" ht="39.75" customHeight="1" x14ac:dyDescent="0.25">
      <c r="A6" s="341">
        <f>'Unit Data from Audit Worksheet'!A8</f>
        <v>500</v>
      </c>
      <c r="B6" s="355" t="str">
        <f>'Unit Data from Audit Worksheet'!C8</f>
        <v>Net Position-Governmental Activities</v>
      </c>
      <c r="C6" s="340" t="str">
        <f>'Unit Data from Audit Worksheet'!D8</f>
        <v xml:space="preserve"> All restricted Cash and investments</v>
      </c>
      <c r="D6" s="142"/>
      <c r="E6" s="361">
        <f>'Unit Data from Audit Worksheet'!F8</f>
        <v>0</v>
      </c>
      <c r="F6" s="354">
        <f>IF(L6&lt;0,"Error: Number is normally positive.",)</f>
        <v>0</v>
      </c>
      <c r="G6" s="356"/>
      <c r="H6" s="353">
        <f>'Unit Data from Audit Worksheet'!I8</f>
        <v>0</v>
      </c>
      <c r="I6" s="38"/>
      <c r="J6" s="352">
        <v>500</v>
      </c>
      <c r="K6" s="351" t="s">
        <v>183</v>
      </c>
      <c r="L6" s="589">
        <f>IF(D6="",E6,D6)</f>
        <v>0</v>
      </c>
      <c r="P6" s="323"/>
      <c r="T6" s="3">
        <v>6</v>
      </c>
      <c r="W6" s="3" t="b">
        <f t="shared" si="0"/>
        <v>1</v>
      </c>
      <c r="X6" s="586">
        <f t="shared" si="1"/>
        <v>0</v>
      </c>
      <c r="Y6" s="586">
        <f t="shared" si="2"/>
        <v>0</v>
      </c>
    </row>
    <row r="7" spans="1:25" ht="43.5" customHeight="1" x14ac:dyDescent="0.25">
      <c r="A7" s="341">
        <f>'Unit Data from Audit Worksheet'!A9</f>
        <v>385</v>
      </c>
      <c r="B7" s="355" t="str">
        <f>'Unit Data from Audit Worksheet'!C9</f>
        <v>Net Position-Governmental Activities</v>
      </c>
      <c r="C7" s="340" t="str">
        <f>'Unit Data from Audit Worksheet'!D9</f>
        <v>Total Assets and deferred outflows</v>
      </c>
      <c r="D7" s="142"/>
      <c r="E7" s="361">
        <f>'Unit Data from Audit Worksheet'!F9</f>
        <v>0</v>
      </c>
      <c r="F7" s="135">
        <f>IF((L5+L6)&gt;L7,"Error: Please review accts (333 + 500) &gt; 385",)</f>
        <v>0</v>
      </c>
      <c r="G7" s="356" t="str">
        <f>IF(Q7=1," Included in error count"," ")</f>
        <v xml:space="preserve"> </v>
      </c>
      <c r="H7" s="353">
        <f>'Unit Data from Audit Worksheet'!I9</f>
        <v>0</v>
      </c>
      <c r="I7" s="38"/>
      <c r="J7" s="76">
        <v>385</v>
      </c>
      <c r="K7" s="77" t="s">
        <v>115</v>
      </c>
      <c r="L7" s="590">
        <f>IF(D7="",E7,D7)+IF(D9="",E9,D9)</f>
        <v>0</v>
      </c>
      <c r="N7" s="78" t="s">
        <v>338</v>
      </c>
      <c r="P7" s="323"/>
      <c r="T7" s="3">
        <v>7</v>
      </c>
      <c r="W7" s="3" t="b">
        <f t="shared" si="0"/>
        <v>1</v>
      </c>
      <c r="X7" s="586">
        <f t="shared" si="1"/>
        <v>0</v>
      </c>
      <c r="Y7" s="586">
        <f t="shared" si="2"/>
        <v>0</v>
      </c>
    </row>
    <row r="8" spans="1:25" ht="90.75" customHeight="1" x14ac:dyDescent="0.25">
      <c r="A8" s="341">
        <f>'Unit Data from Audit Worksheet'!A10</f>
        <v>575</v>
      </c>
      <c r="B8" s="355" t="str">
        <f>'Unit Data from Audit Worksheet'!C10</f>
        <v>Net Position-Governmental Activities</v>
      </c>
      <c r="C8" s="340" t="str">
        <f>'Unit Data from Audit Worksheet'!D10</f>
        <v>Record any positive Internal balances on the net position statements that appear in the Asset Section of the Net Position Statement</v>
      </c>
      <c r="D8" s="142"/>
      <c r="E8" s="361">
        <f>'Unit Data from Audit Worksheet'!F10</f>
        <v>0</v>
      </c>
      <c r="F8" s="354">
        <f>IF(L8&lt;0,"Error: Number is normally positive.",)</f>
        <v>0</v>
      </c>
      <c r="G8" s="356"/>
      <c r="H8" s="353">
        <f>'Unit Data from Audit Worksheet'!I10</f>
        <v>0</v>
      </c>
      <c r="I8" s="38"/>
      <c r="J8" s="352">
        <v>575</v>
      </c>
      <c r="K8" s="358" t="s">
        <v>341</v>
      </c>
      <c r="L8" s="589">
        <f>IF(D8="",E8,D8)</f>
        <v>0</v>
      </c>
      <c r="N8" s="64"/>
      <c r="P8" s="323"/>
      <c r="W8" s="3" t="b">
        <f t="shared" si="0"/>
        <v>1</v>
      </c>
      <c r="X8" s="586">
        <f t="shared" si="1"/>
        <v>0</v>
      </c>
      <c r="Y8" s="586">
        <f t="shared" si="2"/>
        <v>0</v>
      </c>
    </row>
    <row r="9" spans="1:25" ht="103.5" customHeight="1" x14ac:dyDescent="0.25">
      <c r="A9" s="341">
        <f>'Unit Data from Audit Worksheet'!A11</f>
        <v>576</v>
      </c>
      <c r="B9" s="355" t="str">
        <f>'Unit Data from Audit Worksheet'!C11</f>
        <v>Net Position-Governmental Activities</v>
      </c>
      <c r="C9" s="591" t="str">
        <f>'Unit Data from Audit Worksheet'!D11</f>
        <v>Record any negative Internal balances on the net position statements that appear in the Asset Section of the Net Position Statement.
Enter as a positive</v>
      </c>
      <c r="D9" s="110"/>
      <c r="E9" s="153">
        <f>'Unit Data from Audit Worksheet'!F11</f>
        <v>0</v>
      </c>
      <c r="F9" s="350">
        <f>IF(E9&lt;0,"Error: Enter as positive.",)</f>
        <v>0</v>
      </c>
      <c r="G9" s="112"/>
      <c r="H9" s="113">
        <f>'Unit Data from Audit Worksheet'!I11</f>
        <v>0</v>
      </c>
      <c r="I9" s="38"/>
      <c r="J9" s="105">
        <v>576</v>
      </c>
      <c r="K9" s="358" t="s">
        <v>342</v>
      </c>
      <c r="L9" s="589">
        <f>IF(D9="",E9,D9)</f>
        <v>0</v>
      </c>
      <c r="N9" s="64"/>
      <c r="P9" s="324"/>
      <c r="W9" s="3" t="b">
        <f t="shared" si="0"/>
        <v>1</v>
      </c>
      <c r="X9" s="586">
        <f t="shared" si="1"/>
        <v>0</v>
      </c>
      <c r="Y9" s="586">
        <f t="shared" si="2"/>
        <v>0</v>
      </c>
    </row>
    <row r="10" spans="1:25" s="18" customFormat="1" ht="100.5" customHeight="1" x14ac:dyDescent="0.25">
      <c r="A10" s="341">
        <f>'Unit Data from Audit Worksheet'!A12</f>
        <v>626</v>
      </c>
      <c r="B10" s="346" t="str">
        <f>'Unit Data from Audit Worksheet'!C12</f>
        <v>Net Position-Governmental Activities</v>
      </c>
      <c r="C10" s="345"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7">
        <f>'Unit Data from Audit Worksheet'!F12</f>
        <v>0</v>
      </c>
      <c r="F10" s="349">
        <f>IF(L10&lt;0,"Error: Enter as a positive.",)</f>
        <v>0</v>
      </c>
      <c r="G10" s="334"/>
      <c r="H10" s="349">
        <f>'Unit Data from Audit Worksheet'!I12</f>
        <v>0</v>
      </c>
      <c r="I10" s="38"/>
      <c r="J10" s="348">
        <v>626</v>
      </c>
      <c r="K10" s="315" t="s">
        <v>472</v>
      </c>
      <c r="L10" s="592">
        <f>IF(D10="",E10,D10)+IF(D9="",E9,D9)</f>
        <v>0</v>
      </c>
      <c r="M10" s="593"/>
      <c r="N10" s="180" t="s">
        <v>338</v>
      </c>
      <c r="O10" s="593"/>
      <c r="P10" s="325"/>
      <c r="Q10" s="594"/>
      <c r="R10" s="3"/>
      <c r="W10" s="18" t="b">
        <f t="shared" si="0"/>
        <v>1</v>
      </c>
      <c r="X10" s="595">
        <f t="shared" si="1"/>
        <v>0</v>
      </c>
      <c r="Y10" s="595">
        <f t="shared" si="2"/>
        <v>0</v>
      </c>
    </row>
    <row r="11" spans="1:25" s="18" customFormat="1" ht="86.25" customHeight="1" x14ac:dyDescent="0.25">
      <c r="A11" s="341">
        <f>'Unit Data from Audit Worksheet'!A13</f>
        <v>627</v>
      </c>
      <c r="B11" s="346" t="str">
        <f>'Unit Data from Audit Worksheet'!C13</f>
        <v>Net Position-Governmental Activities</v>
      </c>
      <c r="C11" s="345"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7">
        <f>'Unit Data from Audit Worksheet'!F13</f>
        <v>0</v>
      </c>
      <c r="F11" s="349"/>
      <c r="G11" s="334"/>
      <c r="H11" s="349"/>
      <c r="I11" s="38"/>
      <c r="J11" s="348">
        <v>627</v>
      </c>
      <c r="K11" s="315" t="s">
        <v>464</v>
      </c>
      <c r="L11" s="596">
        <f t="shared" ref="L11:L16" si="3">IF(D11="",E11,D11)</f>
        <v>0</v>
      </c>
      <c r="M11" s="593"/>
      <c r="N11" s="179"/>
      <c r="O11" s="593"/>
      <c r="P11" s="325"/>
      <c r="Q11" s="594"/>
      <c r="R11" s="3"/>
      <c r="W11" s="18" t="b">
        <f t="shared" si="0"/>
        <v>1</v>
      </c>
      <c r="X11" s="595">
        <f t="shared" si="1"/>
        <v>0</v>
      </c>
      <c r="Y11" s="595">
        <f t="shared" si="2"/>
        <v>0</v>
      </c>
    </row>
    <row r="12" spans="1:25" s="18" customFormat="1" ht="86.25" customHeight="1" x14ac:dyDescent="0.25">
      <c r="A12" s="341">
        <f>'Unit Data from Audit Worksheet'!A14</f>
        <v>628</v>
      </c>
      <c r="B12" s="346" t="str">
        <f>'Unit Data from Audit Worksheet'!C14</f>
        <v>Net Position-Governmental Activities</v>
      </c>
      <c r="C12" s="345"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7">
        <f>'Unit Data from Audit Worksheet'!F14</f>
        <v>0</v>
      </c>
      <c r="F12" s="349"/>
      <c r="G12" s="334"/>
      <c r="H12" s="349"/>
      <c r="I12" s="38"/>
      <c r="J12" s="348">
        <v>628</v>
      </c>
      <c r="K12" s="315" t="s">
        <v>469</v>
      </c>
      <c r="L12" s="596">
        <f t="shared" si="3"/>
        <v>0</v>
      </c>
      <c r="M12" s="593"/>
      <c r="N12" s="179"/>
      <c r="O12" s="593"/>
      <c r="P12" s="325"/>
      <c r="Q12" s="594"/>
      <c r="R12" s="3"/>
      <c r="W12" s="18" t="b">
        <f t="shared" si="0"/>
        <v>1</v>
      </c>
      <c r="X12" s="595">
        <f t="shared" si="1"/>
        <v>0</v>
      </c>
      <c r="Y12" s="595">
        <f t="shared" si="2"/>
        <v>0</v>
      </c>
    </row>
    <row r="13" spans="1:25" s="18" customFormat="1" ht="93" customHeight="1" x14ac:dyDescent="0.25">
      <c r="A13" s="341">
        <f>'Unit Data from Audit Worksheet'!A15</f>
        <v>629</v>
      </c>
      <c r="B13" s="346" t="str">
        <f>'Unit Data from Audit Worksheet'!C15</f>
        <v>Net Position-Governmental Activities</v>
      </c>
      <c r="C13" s="345" t="str">
        <f>'Unit Data from Audit Worksheet'!D15</f>
        <v>Please enter any pension liabilities that are classified as current liabilities and included in account 626 above (amounts entered should agree to the current amount included in the changes to long-term debt note)</v>
      </c>
      <c r="D13" s="110"/>
      <c r="E13" s="367">
        <f>'Unit Data from Audit Worksheet'!F15</f>
        <v>0</v>
      </c>
      <c r="F13" s="349"/>
      <c r="G13" s="334"/>
      <c r="H13" s="349"/>
      <c r="I13" s="38"/>
      <c r="J13" s="348">
        <v>629</v>
      </c>
      <c r="K13" s="315" t="s">
        <v>468</v>
      </c>
      <c r="L13" s="596">
        <f t="shared" si="3"/>
        <v>0</v>
      </c>
      <c r="M13" s="593"/>
      <c r="N13" s="179"/>
      <c r="O13" s="593"/>
      <c r="P13" s="325"/>
      <c r="Q13" s="594"/>
      <c r="R13" s="3"/>
      <c r="W13" s="18" t="b">
        <f t="shared" si="0"/>
        <v>1</v>
      </c>
      <c r="X13" s="595">
        <f t="shared" si="1"/>
        <v>0</v>
      </c>
      <c r="Y13" s="595">
        <f t="shared" si="2"/>
        <v>0</v>
      </c>
    </row>
    <row r="14" spans="1:25" s="18" customFormat="1" ht="67.5" customHeight="1" x14ac:dyDescent="0.25">
      <c r="A14" s="341">
        <f>'Unit Data from Audit Worksheet'!A16</f>
        <v>630</v>
      </c>
      <c r="B14" s="346" t="str">
        <f>'Unit Data from Audit Worksheet'!C16</f>
        <v>Net Position-Governmental Activities</v>
      </c>
      <c r="C14" s="345" t="str">
        <f>'Unit Data from Audit Worksheet'!D16</f>
        <v>Please enter any current liabilities that are payable from restricted assets and included in account 626 above</v>
      </c>
      <c r="D14" s="110"/>
      <c r="E14" s="367">
        <f>'Unit Data from Audit Worksheet'!F16</f>
        <v>0</v>
      </c>
      <c r="F14" s="349"/>
      <c r="G14" s="334"/>
      <c r="H14" s="349"/>
      <c r="I14" s="38"/>
      <c r="J14" s="348">
        <v>630</v>
      </c>
      <c r="K14" s="315" t="s">
        <v>467</v>
      </c>
      <c r="L14" s="596">
        <f t="shared" si="3"/>
        <v>0</v>
      </c>
      <c r="M14" s="593"/>
      <c r="N14" s="179"/>
      <c r="O14" s="593"/>
      <c r="P14" s="325"/>
      <c r="Q14" s="594"/>
      <c r="R14" s="3"/>
      <c r="W14" s="18" t="b">
        <f t="shared" si="0"/>
        <v>1</v>
      </c>
      <c r="X14" s="595">
        <f t="shared" si="1"/>
        <v>0</v>
      </c>
      <c r="Y14" s="595">
        <f t="shared" si="2"/>
        <v>0</v>
      </c>
    </row>
    <row r="15" spans="1:25" s="18" customFormat="1" ht="102.75" customHeight="1" x14ac:dyDescent="0.25">
      <c r="A15" s="341">
        <f>'Unit Data from Audit Worksheet'!A17</f>
        <v>631</v>
      </c>
      <c r="B15" s="355" t="str">
        <f>'Unit Data from Audit Worksheet'!C17</f>
        <v>Net Position-Governmental Activities</v>
      </c>
      <c r="C15" s="335" t="str">
        <f>'Unit Data from Audit Worksheet'!D17</f>
        <v>Please enter any OPEB liabilities that are classified as current liabilities and included in account 626 above (amounts entered should agree to the current amount included in the changes to long-term debt note)</v>
      </c>
      <c r="D15" s="110"/>
      <c r="E15" s="367">
        <f>'Unit Data from Audit Worksheet'!F17</f>
        <v>0</v>
      </c>
      <c r="F15" s="349"/>
      <c r="G15" s="334"/>
      <c r="H15" s="349"/>
      <c r="I15" s="38"/>
      <c r="J15" s="348">
        <v>631</v>
      </c>
      <c r="K15" s="315" t="s">
        <v>466</v>
      </c>
      <c r="L15" s="596">
        <f t="shared" si="3"/>
        <v>0</v>
      </c>
      <c r="M15" s="593"/>
      <c r="N15" s="179"/>
      <c r="O15" s="593"/>
      <c r="P15" s="325"/>
      <c r="Q15" s="594"/>
      <c r="R15" s="3"/>
      <c r="W15" s="18" t="b">
        <f t="shared" si="0"/>
        <v>1</v>
      </c>
      <c r="X15" s="595">
        <f t="shared" si="1"/>
        <v>0</v>
      </c>
      <c r="Y15" s="595">
        <f t="shared" si="2"/>
        <v>0</v>
      </c>
    </row>
    <row r="16" spans="1:25" s="18" customFormat="1" ht="119.25" customHeight="1" x14ac:dyDescent="0.25">
      <c r="A16" s="341">
        <f>'Unit Data from Audit Worksheet'!A18</f>
        <v>632</v>
      </c>
      <c r="B16" s="355" t="str">
        <f>'Unit Data from Audit Worksheet'!C18</f>
        <v>Net Position-Governmental Activities</v>
      </c>
      <c r="C16" s="335"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7">
        <f>'Unit Data from Audit Worksheet'!F18</f>
        <v>0</v>
      </c>
      <c r="F16" s="349"/>
      <c r="G16" s="334"/>
      <c r="H16" s="349"/>
      <c r="I16" s="38"/>
      <c r="J16" s="348">
        <v>632</v>
      </c>
      <c r="K16" s="315" t="s">
        <v>465</v>
      </c>
      <c r="L16" s="596">
        <f t="shared" si="3"/>
        <v>0</v>
      </c>
      <c r="M16" s="593"/>
      <c r="N16" s="179"/>
      <c r="O16" s="593"/>
      <c r="P16" s="325"/>
      <c r="Q16" s="594"/>
      <c r="R16" s="3"/>
      <c r="W16" s="18" t="b">
        <f t="shared" si="0"/>
        <v>1</v>
      </c>
      <c r="X16" s="595">
        <f t="shared" si="1"/>
        <v>0</v>
      </c>
      <c r="Y16" s="595">
        <f t="shared" si="2"/>
        <v>0</v>
      </c>
    </row>
    <row r="17" spans="1:25" ht="33.75" x14ac:dyDescent="0.25">
      <c r="A17" s="341">
        <f>'Unit Data from Audit Worksheet'!A19</f>
        <v>338</v>
      </c>
      <c r="B17" s="355" t="str">
        <f>'Unit Data from Audit Worksheet'!C19</f>
        <v>Net Position-Governmental Activities</v>
      </c>
      <c r="C17" s="340" t="str">
        <f>'Unit Data from Audit Worksheet'!D19</f>
        <v>Total Liabilities and total deferred inflows</v>
      </c>
      <c r="D17" s="110"/>
      <c r="E17" s="150">
        <f>'Unit Data from Audit Worksheet'!F19</f>
        <v>0</v>
      </c>
      <c r="F17" s="135" t="str">
        <f>IF(L10&gt;L17,"Please review accounts 626 greater than 338","")</f>
        <v/>
      </c>
      <c r="G17" s="72"/>
      <c r="H17" s="353">
        <f>'Unit Data from Audit Worksheet'!I19</f>
        <v>0</v>
      </c>
      <c r="I17" s="38"/>
      <c r="J17" s="114">
        <v>338</v>
      </c>
      <c r="K17" s="115" t="s">
        <v>116</v>
      </c>
      <c r="L17" s="590">
        <f>IF(D17="",E17,D17)+IF(D9="",E9,D9)</f>
        <v>0</v>
      </c>
      <c r="N17" s="78" t="s">
        <v>338</v>
      </c>
      <c r="P17" s="322"/>
      <c r="W17" s="3" t="b">
        <f t="shared" si="0"/>
        <v>1</v>
      </c>
      <c r="X17" s="586">
        <f t="shared" si="1"/>
        <v>0</v>
      </c>
      <c r="Y17" s="586">
        <f t="shared" si="2"/>
        <v>0</v>
      </c>
    </row>
    <row r="18" spans="1:25" ht="100.5" customHeight="1" x14ac:dyDescent="0.25">
      <c r="A18" s="341">
        <f>'Unit Data from Audit Worksheet'!A20</f>
        <v>335</v>
      </c>
      <c r="B18" s="355" t="str">
        <f>'Unit Data from Audit Worksheet'!C20</f>
        <v>Net Position-Governmental Activities</v>
      </c>
      <c r="C18" s="340" t="str">
        <f>'Unit Data from Audit Worksheet'!D20</f>
        <v>Unearned revenues that were included in current liabilities in your audit report or entered in acct # 626 above. 
Exclude - unearned revenues that are listed in deferred inflows.</v>
      </c>
      <c r="D18" s="110"/>
      <c r="E18" s="361">
        <f>'Unit Data from Audit Worksheet'!F20</f>
        <v>0</v>
      </c>
      <c r="F18" s="354">
        <f>IF(L18&lt;0,"Error: Enter as a positive.",)</f>
        <v>0</v>
      </c>
      <c r="G18" s="356"/>
      <c r="H18" s="353">
        <f>'Unit Data from Audit Worksheet'!I20</f>
        <v>0</v>
      </c>
      <c r="I18" s="38"/>
      <c r="J18" s="352">
        <v>335</v>
      </c>
      <c r="K18" s="351" t="s">
        <v>117</v>
      </c>
      <c r="L18" s="589">
        <f>IF(D18="",E18,D18)</f>
        <v>0</v>
      </c>
      <c r="P18" s="323"/>
      <c r="W18" s="3" t="b">
        <f t="shared" si="0"/>
        <v>1</v>
      </c>
      <c r="X18" s="586">
        <f t="shared" si="1"/>
        <v>0</v>
      </c>
      <c r="Y18" s="586">
        <f t="shared" si="2"/>
        <v>0</v>
      </c>
    </row>
    <row r="19" spans="1:25" ht="22.5" x14ac:dyDescent="0.25">
      <c r="A19" s="341">
        <f>'Unit Data from Audit Worksheet'!A21</f>
        <v>252</v>
      </c>
      <c r="B19" s="355" t="str">
        <f>'Unit Data from Audit Worksheet'!C21</f>
        <v>Net Position-Governmental Activities</v>
      </c>
      <c r="C19" s="340" t="str">
        <f>'Unit Data from Audit Worksheet'!D21</f>
        <v xml:space="preserve"> Total Net investment in capital assets</v>
      </c>
      <c r="D19" s="110"/>
      <c r="E19" s="361">
        <f>'Unit Data from Audit Worksheet'!F21</f>
        <v>0</v>
      </c>
      <c r="F19" s="354"/>
      <c r="G19" s="356"/>
      <c r="H19" s="353">
        <f>'Unit Data from Audit Worksheet'!I21</f>
        <v>0</v>
      </c>
      <c r="I19" s="38"/>
      <c r="J19" s="352">
        <v>252</v>
      </c>
      <c r="K19" s="351" t="s">
        <v>103</v>
      </c>
      <c r="L19" s="589">
        <f t="shared" ref="L19:L51" si="4">IF(D19="",E19,D19)</f>
        <v>0</v>
      </c>
      <c r="O19" s="597" t="e">
        <f>'Unit Data from Audit Worksheet'!E21</f>
        <v>#N/A</v>
      </c>
      <c r="P19" s="323"/>
      <c r="W19" s="3" t="b">
        <f t="shared" si="0"/>
        <v>1</v>
      </c>
      <c r="X19" s="586">
        <f t="shared" si="1"/>
        <v>0</v>
      </c>
      <c r="Y19" s="586">
        <f t="shared" si="2"/>
        <v>0</v>
      </c>
    </row>
    <row r="20" spans="1:25" ht="22.5" x14ac:dyDescent="0.25">
      <c r="A20" s="341">
        <f>'Unit Data from Audit Worksheet'!A22</f>
        <v>253</v>
      </c>
      <c r="B20" s="355" t="str">
        <f>'Unit Data from Audit Worksheet'!C22</f>
        <v>Net Position-Governmental Activities</v>
      </c>
      <c r="C20" s="340" t="str">
        <f>'Unit Data from Audit Worksheet'!D22</f>
        <v xml:space="preserve"> Total Net Position, Restricted</v>
      </c>
      <c r="D20" s="110"/>
      <c r="E20" s="361">
        <f>'Unit Data from Audit Worksheet'!F22</f>
        <v>0</v>
      </c>
      <c r="F20" s="354"/>
      <c r="G20" s="356"/>
      <c r="H20" s="353">
        <f>'Unit Data from Audit Worksheet'!I22</f>
        <v>0</v>
      </c>
      <c r="I20" s="38"/>
      <c r="J20" s="352">
        <v>253</v>
      </c>
      <c r="K20" s="351" t="s">
        <v>104</v>
      </c>
      <c r="L20" s="589">
        <f t="shared" si="4"/>
        <v>0</v>
      </c>
      <c r="O20" s="597" t="e">
        <f>'Unit Data from Audit Worksheet'!E22</f>
        <v>#N/A</v>
      </c>
      <c r="P20" s="323"/>
      <c r="W20" s="3" t="b">
        <f t="shared" si="0"/>
        <v>1</v>
      </c>
      <c r="X20" s="586">
        <f t="shared" si="1"/>
        <v>0</v>
      </c>
      <c r="Y20" s="586">
        <f t="shared" si="2"/>
        <v>0</v>
      </c>
    </row>
    <row r="21" spans="1:25" ht="73.5" customHeight="1" x14ac:dyDescent="0.25">
      <c r="A21" s="341">
        <f>'Unit Data from Audit Worksheet'!A23</f>
        <v>254</v>
      </c>
      <c r="B21" s="355" t="str">
        <f>'Unit Data from Audit Worksheet'!C23</f>
        <v>Net Position-Governmental Activities</v>
      </c>
      <c r="C21" s="340" t="str">
        <f>'Unit Data from Audit Worksheet'!D23</f>
        <v>Total Net Position, Unrestricted - enter negative unrestricted net position as a negative)</v>
      </c>
      <c r="D21" s="110"/>
      <c r="E21" s="361">
        <f>'Unit Data from Audit Worksheet'!F23</f>
        <v>0</v>
      </c>
      <c r="F21" s="354">
        <f>IF((L7-L17-L19-L20-L21)=0,,"Error: Total assets and deferred outflows less total liabilities and deferred inflows do not equal total net position accts 385-338-252-253-254")</f>
        <v>0</v>
      </c>
      <c r="G21" s="90">
        <f>+L7-L17-L19-L20-L21</f>
        <v>0</v>
      </c>
      <c r="H21" s="353">
        <f>'Unit Data from Audit Worksheet'!I23</f>
        <v>0</v>
      </c>
      <c r="I21" s="38"/>
      <c r="J21" s="352">
        <v>254</v>
      </c>
      <c r="K21" s="351" t="s">
        <v>105</v>
      </c>
      <c r="L21" s="589">
        <f t="shared" si="4"/>
        <v>0</v>
      </c>
      <c r="O21" s="597" t="e">
        <f>'Unit Data from Audit Worksheet'!E23</f>
        <v>#N/A</v>
      </c>
      <c r="P21" s="323"/>
      <c r="Q21" s="579">
        <f>IF(G21&lt;&gt;0,1,0)</f>
        <v>0</v>
      </c>
      <c r="W21" s="3" t="b">
        <f t="shared" si="0"/>
        <v>1</v>
      </c>
      <c r="X21" s="586">
        <f t="shared" si="1"/>
        <v>0</v>
      </c>
      <c r="Y21" s="586">
        <f t="shared" si="2"/>
        <v>0</v>
      </c>
    </row>
    <row r="22" spans="1:25" ht="51.75" customHeight="1" x14ac:dyDescent="0.25">
      <c r="A22" s="341">
        <f>'Unit Data from Audit Worksheet'!A25</f>
        <v>502</v>
      </c>
      <c r="B22" s="355" t="str">
        <f>'Unit Data from Audit Worksheet'!C25</f>
        <v>Net Position-Business Activities</v>
      </c>
      <c r="C22" s="340" t="str">
        <f>'Unit Data from Audit Worksheet'!D25</f>
        <v xml:space="preserve">All unrestricted Cash and investments. 
Exclude restricted cash and cash held by a third party. </v>
      </c>
      <c r="D22" s="110"/>
      <c r="E22" s="361">
        <f>'Unit Data from Audit Worksheet'!F25</f>
        <v>0</v>
      </c>
      <c r="F22" s="354">
        <f>IF(L22&lt;0,"Error: Number is normally positive.",)</f>
        <v>0</v>
      </c>
      <c r="G22" s="356"/>
      <c r="H22" s="353">
        <f>'Unit Data from Audit Worksheet'!I25</f>
        <v>0</v>
      </c>
      <c r="I22" s="38"/>
      <c r="J22" s="352">
        <v>502</v>
      </c>
      <c r="K22" s="351" t="s">
        <v>186</v>
      </c>
      <c r="L22" s="589">
        <f t="shared" si="4"/>
        <v>0</v>
      </c>
      <c r="P22" s="323"/>
      <c r="W22" s="3" t="b">
        <f t="shared" si="0"/>
        <v>1</v>
      </c>
      <c r="X22" s="586">
        <f t="shared" si="1"/>
        <v>0</v>
      </c>
      <c r="Y22" s="586">
        <f t="shared" si="2"/>
        <v>0</v>
      </c>
    </row>
    <row r="23" spans="1:25" ht="40.5" customHeight="1" x14ac:dyDescent="0.25">
      <c r="A23" s="341">
        <f>'Unit Data from Audit Worksheet'!A26</f>
        <v>503</v>
      </c>
      <c r="B23" s="355" t="str">
        <f>'Unit Data from Audit Worksheet'!C26</f>
        <v>Net Position-Business Activities</v>
      </c>
      <c r="C23" s="340" t="str">
        <f>'Unit Data from Audit Worksheet'!D26</f>
        <v>All restricted Cash and investments</v>
      </c>
      <c r="D23" s="110"/>
      <c r="E23" s="361">
        <f>'Unit Data from Audit Worksheet'!F26</f>
        <v>0</v>
      </c>
      <c r="F23" s="354">
        <f>IF(L23&lt;0,"Error: Number is normally positive.",)</f>
        <v>0</v>
      </c>
      <c r="G23" s="356"/>
      <c r="H23" s="353">
        <f>'Unit Data from Audit Worksheet'!I26</f>
        <v>0</v>
      </c>
      <c r="I23" s="38"/>
      <c r="J23" s="352">
        <v>503</v>
      </c>
      <c r="K23" s="351" t="s">
        <v>187</v>
      </c>
      <c r="L23" s="589">
        <f t="shared" si="4"/>
        <v>0</v>
      </c>
      <c r="P23" s="323"/>
      <c r="W23" s="3" t="b">
        <f t="shared" si="0"/>
        <v>1</v>
      </c>
      <c r="X23" s="586">
        <f t="shared" si="1"/>
        <v>0</v>
      </c>
      <c r="Y23" s="586">
        <f t="shared" si="2"/>
        <v>0</v>
      </c>
    </row>
    <row r="24" spans="1:25" ht="39" customHeight="1" x14ac:dyDescent="0.25">
      <c r="A24" s="341">
        <f>'Unit Data from Audit Worksheet'!A28</f>
        <v>344</v>
      </c>
      <c r="B24" s="355" t="str">
        <f>'Unit Data from Audit Worksheet'!C28</f>
        <v>Statement of Activities - Governmental</v>
      </c>
      <c r="C24" s="340" t="str">
        <f>'Unit Data from Audit Worksheet'!D28</f>
        <v xml:space="preserve">Total Interest expense on Long-Term Debt </v>
      </c>
      <c r="D24" s="110"/>
      <c r="E24" s="361">
        <f>'Unit Data from Audit Worksheet'!F28</f>
        <v>0</v>
      </c>
      <c r="F24" s="354">
        <f>IF(L24&lt;0,"Error: Enter as a positive.",)</f>
        <v>0</v>
      </c>
      <c r="G24" s="356"/>
      <c r="H24" s="353">
        <f>'Unit Data from Audit Worksheet'!I28</f>
        <v>0</v>
      </c>
      <c r="I24" s="38"/>
      <c r="J24" s="352">
        <v>344</v>
      </c>
      <c r="K24" s="351" t="s">
        <v>188</v>
      </c>
      <c r="L24" s="589">
        <f t="shared" si="4"/>
        <v>0</v>
      </c>
      <c r="P24" s="323"/>
      <c r="W24" s="3" t="b">
        <f t="shared" si="0"/>
        <v>1</v>
      </c>
      <c r="X24" s="586">
        <f t="shared" si="1"/>
        <v>0</v>
      </c>
      <c r="Y24" s="586">
        <f t="shared" si="2"/>
        <v>0</v>
      </c>
    </row>
    <row r="25" spans="1:25" ht="39" customHeight="1" x14ac:dyDescent="0.25">
      <c r="A25" s="341">
        <f>'Unit Data from Audit Worksheet'!A29</f>
        <v>388</v>
      </c>
      <c r="B25" s="355" t="str">
        <f>'Unit Data from Audit Worksheet'!C29</f>
        <v>Statement of Activities - Governmental</v>
      </c>
      <c r="C25" s="340" t="str">
        <f>'Unit Data from Audit Worksheet'!D29</f>
        <v>Total Expenses</v>
      </c>
      <c r="D25" s="110"/>
      <c r="E25" s="361">
        <f>'Unit Data from Audit Worksheet'!F29</f>
        <v>0</v>
      </c>
      <c r="F25" s="354">
        <f t="shared" ref="F25:F30" si="5">IF(L25&lt;0,"Error: Number is normally positive.",)</f>
        <v>0</v>
      </c>
      <c r="G25" s="356"/>
      <c r="H25" s="353">
        <f>'Unit Data from Audit Worksheet'!I29</f>
        <v>0</v>
      </c>
      <c r="I25" s="38"/>
      <c r="J25" s="352">
        <v>388</v>
      </c>
      <c r="K25" s="351" t="s">
        <v>189</v>
      </c>
      <c r="L25" s="589">
        <f t="shared" si="4"/>
        <v>0</v>
      </c>
      <c r="P25" s="323"/>
      <c r="W25" s="3" t="b">
        <f t="shared" si="0"/>
        <v>1</v>
      </c>
      <c r="X25" s="586">
        <f t="shared" si="1"/>
        <v>0</v>
      </c>
      <c r="Y25" s="586">
        <f t="shared" si="2"/>
        <v>0</v>
      </c>
    </row>
    <row r="26" spans="1:25" ht="39" customHeight="1" x14ac:dyDescent="0.25">
      <c r="A26" s="341">
        <f>'Unit Data from Audit Worksheet'!A30</f>
        <v>339</v>
      </c>
      <c r="B26" s="355" t="str">
        <f>'Unit Data from Audit Worksheet'!C30</f>
        <v>Statement of Activities - Governmental</v>
      </c>
      <c r="C26" s="340" t="str">
        <f>'Unit Data from Audit Worksheet'!D30</f>
        <v xml:space="preserve">Charges for services </v>
      </c>
      <c r="D26" s="110"/>
      <c r="E26" s="361">
        <f>'Unit Data from Audit Worksheet'!F30</f>
        <v>0</v>
      </c>
      <c r="F26" s="354">
        <f t="shared" si="5"/>
        <v>0</v>
      </c>
      <c r="G26" s="356"/>
      <c r="H26" s="353">
        <f>'Unit Data from Audit Worksheet'!I30</f>
        <v>0</v>
      </c>
      <c r="I26" s="38"/>
      <c r="J26" s="352">
        <v>339</v>
      </c>
      <c r="K26" s="351" t="s">
        <v>190</v>
      </c>
      <c r="L26" s="589">
        <f t="shared" si="4"/>
        <v>0</v>
      </c>
      <c r="P26" s="323"/>
      <c r="W26" s="3" t="b">
        <f t="shared" si="0"/>
        <v>1</v>
      </c>
      <c r="X26" s="586">
        <f t="shared" si="1"/>
        <v>0</v>
      </c>
      <c r="Y26" s="586">
        <f t="shared" si="2"/>
        <v>0</v>
      </c>
    </row>
    <row r="27" spans="1:25" ht="39" customHeight="1" x14ac:dyDescent="0.25">
      <c r="A27" s="341">
        <f>'Unit Data from Audit Worksheet'!A31</f>
        <v>504</v>
      </c>
      <c r="B27" s="355" t="str">
        <f>'Unit Data from Audit Worksheet'!C31</f>
        <v>Statement of Activities - Governmental</v>
      </c>
      <c r="C27" s="340" t="str">
        <f>'Unit Data from Audit Worksheet'!D31</f>
        <v>Operating grants and contributions</v>
      </c>
      <c r="D27" s="110"/>
      <c r="E27" s="361">
        <f>'Unit Data from Audit Worksheet'!F31</f>
        <v>0</v>
      </c>
      <c r="F27" s="354">
        <f t="shared" si="5"/>
        <v>0</v>
      </c>
      <c r="G27" s="356"/>
      <c r="H27" s="353">
        <f>'Unit Data from Audit Worksheet'!I31</f>
        <v>0</v>
      </c>
      <c r="I27" s="38"/>
      <c r="J27" s="352">
        <v>504</v>
      </c>
      <c r="K27" s="351" t="s">
        <v>191</v>
      </c>
      <c r="L27" s="589">
        <f t="shared" si="4"/>
        <v>0</v>
      </c>
      <c r="P27" s="323"/>
      <c r="W27" s="3" t="b">
        <f t="shared" si="0"/>
        <v>1</v>
      </c>
      <c r="X27" s="586">
        <f t="shared" si="1"/>
        <v>0</v>
      </c>
      <c r="Y27" s="586">
        <f t="shared" si="2"/>
        <v>0</v>
      </c>
    </row>
    <row r="28" spans="1:25" ht="39" customHeight="1" x14ac:dyDescent="0.25">
      <c r="A28" s="341">
        <f>'Unit Data from Audit Worksheet'!A32</f>
        <v>505</v>
      </c>
      <c r="B28" s="355" t="str">
        <f>'Unit Data from Audit Worksheet'!C32</f>
        <v>Statement of Activities - Governmental</v>
      </c>
      <c r="C28" s="340" t="str">
        <f>'Unit Data from Audit Worksheet'!D32</f>
        <v>Capital grants and contributions</v>
      </c>
      <c r="D28" s="110"/>
      <c r="E28" s="361">
        <f>'Unit Data from Audit Worksheet'!F32</f>
        <v>0</v>
      </c>
      <c r="F28" s="354">
        <f t="shared" si="5"/>
        <v>0</v>
      </c>
      <c r="G28" s="356"/>
      <c r="H28" s="353">
        <f>'Unit Data from Audit Worksheet'!I32</f>
        <v>0</v>
      </c>
      <c r="I28" s="38"/>
      <c r="J28" s="352">
        <v>505</v>
      </c>
      <c r="K28" s="351" t="s">
        <v>192</v>
      </c>
      <c r="L28" s="589">
        <f t="shared" si="4"/>
        <v>0</v>
      </c>
      <c r="P28" s="323"/>
      <c r="W28" s="3" t="b">
        <f t="shared" si="0"/>
        <v>1</v>
      </c>
      <c r="X28" s="586">
        <f t="shared" si="1"/>
        <v>0</v>
      </c>
      <c r="Y28" s="586">
        <f t="shared" si="2"/>
        <v>0</v>
      </c>
    </row>
    <row r="29" spans="1:25" ht="82.5" customHeight="1" x14ac:dyDescent="0.25">
      <c r="A29" s="341">
        <f>'Unit Data from Audit Worksheet'!A33</f>
        <v>341</v>
      </c>
      <c r="B29" s="355" t="str">
        <f>'Unit Data from Audit Worksheet'!C33</f>
        <v>Statement of Activities - Governmental</v>
      </c>
      <c r="C29" s="340" t="str">
        <f>'Unit Data from Audit Worksheet'!D33</f>
        <v>Total General revenues
Exclude: transfers-in or out,
                 special items,
                 extraordinary amounts</v>
      </c>
      <c r="D29" s="110"/>
      <c r="E29" s="361">
        <f>'Unit Data from Audit Worksheet'!F33</f>
        <v>0</v>
      </c>
      <c r="F29" s="354">
        <f t="shared" si="5"/>
        <v>0</v>
      </c>
      <c r="G29" s="356"/>
      <c r="H29" s="353">
        <f>'Unit Data from Audit Worksheet'!I33</f>
        <v>0</v>
      </c>
      <c r="I29" s="38"/>
      <c r="J29" s="352">
        <v>341</v>
      </c>
      <c r="K29" s="351" t="s">
        <v>193</v>
      </c>
      <c r="L29" s="589">
        <f t="shared" si="4"/>
        <v>0</v>
      </c>
      <c r="P29" s="323"/>
      <c r="W29" s="3" t="b">
        <f t="shared" si="0"/>
        <v>1</v>
      </c>
      <c r="X29" s="586">
        <f t="shared" si="1"/>
        <v>0</v>
      </c>
      <c r="Y29" s="586">
        <f t="shared" si="2"/>
        <v>0</v>
      </c>
    </row>
    <row r="30" spans="1:25" ht="82.5" customHeight="1" x14ac:dyDescent="0.25">
      <c r="A30" s="341">
        <f>'Unit Data from Audit Worksheet'!A34</f>
        <v>386</v>
      </c>
      <c r="B30" s="355" t="str">
        <f>'Unit Data from Audit Worksheet'!C34</f>
        <v>Statement of Activities - Governmental</v>
      </c>
      <c r="C30" s="340" t="str">
        <f>'Unit Data from Audit Worksheet'!D34</f>
        <v>Total Transfers in    (Preference is that transfers-in  are not netted against transfers-out)</v>
      </c>
      <c r="D30" s="110"/>
      <c r="E30" s="361">
        <f>'Unit Data from Audit Worksheet'!F34</f>
        <v>0</v>
      </c>
      <c r="F30" s="354">
        <f t="shared" si="5"/>
        <v>0</v>
      </c>
      <c r="G30" s="356"/>
      <c r="H30" s="353">
        <f>'Unit Data from Audit Worksheet'!I34</f>
        <v>0</v>
      </c>
      <c r="I30" s="38"/>
      <c r="J30" s="352">
        <v>386</v>
      </c>
      <c r="K30" s="351" t="s">
        <v>194</v>
      </c>
      <c r="L30" s="589">
        <f t="shared" si="4"/>
        <v>0</v>
      </c>
      <c r="P30" s="323"/>
      <c r="W30" s="3" t="b">
        <f t="shared" si="0"/>
        <v>1</v>
      </c>
      <c r="X30" s="586">
        <f t="shared" si="1"/>
        <v>0</v>
      </c>
      <c r="Y30" s="586">
        <f t="shared" si="2"/>
        <v>0</v>
      </c>
    </row>
    <row r="31" spans="1:25" ht="82.5" customHeight="1" x14ac:dyDescent="0.25">
      <c r="A31" s="341">
        <f>'Unit Data from Audit Worksheet'!A35</f>
        <v>387</v>
      </c>
      <c r="B31" s="355" t="str">
        <f>'Unit Data from Audit Worksheet'!C35</f>
        <v>Statement of Activities - Governmental</v>
      </c>
      <c r="C31" s="340" t="str">
        <f>'Unit Data from Audit Worksheet'!D35</f>
        <v>Total Transfers out    (Preference is that transfers-in  are not netted against transfers-out)</v>
      </c>
      <c r="D31" s="110"/>
      <c r="E31" s="361">
        <f>'Unit Data from Audit Worksheet'!F35</f>
        <v>0</v>
      </c>
      <c r="F31" s="354">
        <f>IF(L31&lt;0,"Error: Enter as a positive.",)</f>
        <v>0</v>
      </c>
      <c r="G31" s="356"/>
      <c r="H31" s="353">
        <f>'Unit Data from Audit Worksheet'!I35</f>
        <v>0</v>
      </c>
      <c r="I31" s="38"/>
      <c r="J31" s="352">
        <v>387</v>
      </c>
      <c r="K31" s="351" t="s">
        <v>195</v>
      </c>
      <c r="L31" s="589">
        <f t="shared" si="4"/>
        <v>0</v>
      </c>
      <c r="P31" s="323"/>
      <c r="W31" s="3" t="b">
        <f t="shared" si="0"/>
        <v>1</v>
      </c>
      <c r="X31" s="586">
        <f t="shared" si="1"/>
        <v>0</v>
      </c>
      <c r="Y31" s="586">
        <f t="shared" si="2"/>
        <v>0</v>
      </c>
    </row>
    <row r="32" spans="1:25" ht="82.5" customHeight="1" x14ac:dyDescent="0.25">
      <c r="A32" s="341">
        <f>'Unit Data from Audit Worksheet'!A36</f>
        <v>389</v>
      </c>
      <c r="B32" s="355" t="str">
        <f>'Unit Data from Audit Worksheet'!C36</f>
        <v>Statement of Activities - Governmental</v>
      </c>
      <c r="C32" s="340" t="str">
        <f>'Unit Data from Audit Worksheet'!D36</f>
        <v>Total Special and Extraordinary items.    (Amounts that increase net position are recorded as positive and amounts that decrease net position are recorded as negative)</v>
      </c>
      <c r="D32" s="110"/>
      <c r="E32" s="361">
        <f>'Unit Data from Audit Worksheet'!F36</f>
        <v>0</v>
      </c>
      <c r="F32" s="354"/>
      <c r="G32" s="356"/>
      <c r="H32" s="353">
        <f>'Unit Data from Audit Worksheet'!I36</f>
        <v>0</v>
      </c>
      <c r="I32" s="38"/>
      <c r="J32" s="352">
        <v>389</v>
      </c>
      <c r="K32" s="351" t="s">
        <v>196</v>
      </c>
      <c r="L32" s="589">
        <f t="shared" si="4"/>
        <v>0</v>
      </c>
      <c r="N32" s="598"/>
      <c r="P32" s="323"/>
      <c r="W32" s="3" t="b">
        <f t="shared" si="0"/>
        <v>1</v>
      </c>
      <c r="X32" s="586">
        <f t="shared" si="1"/>
        <v>0</v>
      </c>
      <c r="Y32" s="586">
        <f t="shared" si="2"/>
        <v>0</v>
      </c>
    </row>
    <row r="33" spans="1:25" ht="79.5" customHeight="1" x14ac:dyDescent="0.25">
      <c r="A33" s="341">
        <f>'Unit Data from Audit Worksheet'!A37</f>
        <v>255</v>
      </c>
      <c r="B33" s="355" t="str">
        <f>'Unit Data from Audit Worksheet'!C37</f>
        <v>Statement of Activities - Governmental</v>
      </c>
      <c r="C33" s="340" t="str">
        <f>'Unit Data from Audit Worksheet'!D37</f>
        <v>Total Change in net position - (Increase in net position is recorded as a positive and a decrease in net position is recorded as a negative)</v>
      </c>
      <c r="D33" s="110"/>
      <c r="E33" s="361">
        <f>'Unit Data from Audit Worksheet'!F37</f>
        <v>0</v>
      </c>
      <c r="F33" s="354">
        <f>IF((L26+L27+L28+L29+L30-L31+L32-L25-L33)=0,,"Total revenues less total expenses do not equal total change in net position. Acct 339+504+505+341+386-387+389-388-255=0")</f>
        <v>0</v>
      </c>
      <c r="G33" s="91">
        <f>L26+L27+L28+L29+L30-L31+L32-L25-L33</f>
        <v>0</v>
      </c>
      <c r="H33" s="353">
        <f>'Unit Data from Audit Worksheet'!I37</f>
        <v>0</v>
      </c>
      <c r="I33" s="38"/>
      <c r="J33" s="352">
        <v>255</v>
      </c>
      <c r="K33" s="351" t="s">
        <v>197</v>
      </c>
      <c r="L33" s="589">
        <f t="shared" si="4"/>
        <v>0</v>
      </c>
      <c r="O33" s="597" t="e">
        <f>'Unit Data from Audit Worksheet'!E37</f>
        <v>#N/A</v>
      </c>
      <c r="P33" s="323"/>
      <c r="Q33" s="579">
        <f>IF(G33&lt;&gt;0,1,0)</f>
        <v>0</v>
      </c>
      <c r="W33" s="3" t="b">
        <f t="shared" si="0"/>
        <v>1</v>
      </c>
      <c r="X33" s="586">
        <f t="shared" si="1"/>
        <v>0</v>
      </c>
      <c r="Y33" s="586">
        <f t="shared" si="2"/>
        <v>0</v>
      </c>
    </row>
    <row r="34" spans="1:25" ht="89.25" customHeight="1" x14ac:dyDescent="0.25">
      <c r="A34" s="341">
        <f>'Unit Data from Audit Worksheet'!A38</f>
        <v>376</v>
      </c>
      <c r="B34" s="355" t="str">
        <f>'Unit Data from Audit Worksheet'!C38</f>
        <v>Statement of Activities - Governmental</v>
      </c>
      <c r="C34" s="340" t="str">
        <f>'Unit Data from Audit Worksheet'!D38</f>
        <v>Any adjustment to beginning net position including rounding, prior period adjustments and restatements.   (Increases to net position are positive; decreases to net position are negative)</v>
      </c>
      <c r="D34" s="110"/>
      <c r="E34" s="361">
        <f>'Unit Data from Audit Worksheet'!F38</f>
        <v>0</v>
      </c>
      <c r="F34" s="87" t="e">
        <f>IF(L19+L20+L21-L33-L34=O19+O20+O21,,"Beginning Balance does not agree with our records acct (252+253+254-255-376=PY252+PY253+PY254)")</f>
        <v>#N/A</v>
      </c>
      <c r="G34" s="92" t="e">
        <f>L19+L20+L21-L33-L34-(O19+O20+O21)</f>
        <v>#N/A</v>
      </c>
      <c r="H34" s="353" t="str">
        <f>'Unit Data from Audit Worksheet'!I38</f>
        <v>Please do not enter prior's years beginning balance as an adjustment in column F.</v>
      </c>
      <c r="I34" s="38"/>
      <c r="J34" s="352">
        <v>376</v>
      </c>
      <c r="K34" s="351" t="s">
        <v>108</v>
      </c>
      <c r="L34" s="589">
        <f t="shared" si="4"/>
        <v>0</v>
      </c>
      <c r="O34" s="597" t="e">
        <f>'Unit Data from Audit Worksheet'!E38</f>
        <v>#N/A</v>
      </c>
      <c r="P34" s="323"/>
      <c r="Q34" s="579" t="e">
        <f>IF(G34&lt;&gt;0,1,0)</f>
        <v>#N/A</v>
      </c>
      <c r="W34" s="3" t="b">
        <f t="shared" si="0"/>
        <v>1</v>
      </c>
      <c r="X34" s="586">
        <f t="shared" si="1"/>
        <v>0</v>
      </c>
      <c r="Y34" s="586">
        <f t="shared" si="2"/>
        <v>0</v>
      </c>
    </row>
    <row r="35" spans="1:25" ht="157.5" customHeight="1" x14ac:dyDescent="0.25">
      <c r="A35" s="341">
        <f>'Unit Data from Audit Worksheet'!A39</f>
        <v>597</v>
      </c>
      <c r="B35" s="355" t="str">
        <f>'Unit Data from Audit Worksheet'!C39</f>
        <v>Statement of Activities                               (all governmental and business funds)</v>
      </c>
      <c r="C35" s="340"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61">
        <f>'Unit Data from Audit Worksheet'!F39</f>
        <v>0</v>
      </c>
      <c r="F35" s="354">
        <f>IF(L35&lt;0,"Error: Number is normally positive.",)</f>
        <v>0</v>
      </c>
      <c r="G35" s="356"/>
      <c r="H35" s="353">
        <f>'Unit Data from Audit Worksheet'!I39</f>
        <v>0</v>
      </c>
      <c r="I35" s="38"/>
      <c r="J35" s="352">
        <v>597</v>
      </c>
      <c r="K35" s="351" t="s">
        <v>414</v>
      </c>
      <c r="L35" s="589">
        <f t="shared" si="4"/>
        <v>0</v>
      </c>
      <c r="O35" s="597"/>
      <c r="P35" s="323"/>
      <c r="W35" s="3" t="b">
        <f t="shared" si="0"/>
        <v>1</v>
      </c>
      <c r="X35" s="586">
        <f t="shared" si="1"/>
        <v>0</v>
      </c>
      <c r="Y35" s="586">
        <f t="shared" si="2"/>
        <v>0</v>
      </c>
    </row>
    <row r="36" spans="1:25" ht="90" customHeight="1" x14ac:dyDescent="0.25">
      <c r="A36" s="341">
        <f>'Unit Data from Audit Worksheet'!A41</f>
        <v>592</v>
      </c>
      <c r="B36" s="355" t="str">
        <f>'Unit Data from Audit Worksheet'!C41</f>
        <v>Statement of Activities - Business Activities</v>
      </c>
      <c r="C36" s="340" t="str">
        <f>'Unit Data from Audit Worksheet'!D41</f>
        <v>Total Change in net position Business Type 
(Increase in net position is recorded as a positive and a decrease in net position is recorded as a negative)</v>
      </c>
      <c r="D36" s="110"/>
      <c r="E36" s="361">
        <f>'Unit Data from Audit Worksheet'!F41</f>
        <v>0</v>
      </c>
      <c r="F36" s="354"/>
      <c r="G36" s="356"/>
      <c r="H36" s="353">
        <f>'Unit Data from Audit Worksheet'!I41</f>
        <v>0</v>
      </c>
      <c r="I36" s="38"/>
      <c r="J36" s="352">
        <v>592</v>
      </c>
      <c r="K36" s="351" t="s">
        <v>376</v>
      </c>
      <c r="L36" s="589">
        <f t="shared" si="4"/>
        <v>0</v>
      </c>
      <c r="O36" s="597"/>
      <c r="P36" s="323"/>
      <c r="W36" s="3" t="b">
        <f t="shared" ref="W36:W66" si="6">EXACT(A36,J36)</f>
        <v>1</v>
      </c>
      <c r="X36" s="586">
        <f t="shared" si="1"/>
        <v>0</v>
      </c>
      <c r="Y36" s="586">
        <f t="shared" si="2"/>
        <v>0</v>
      </c>
    </row>
    <row r="37" spans="1:25" ht="66" customHeight="1" x14ac:dyDescent="0.25">
      <c r="A37" s="341">
        <f>'Unit Data from Audit Worksheet'!A42</f>
        <v>591</v>
      </c>
      <c r="B37" s="355" t="str">
        <f>'Unit Data from Audit Worksheet'!C42</f>
        <v>Statement of Activities - Business Activities</v>
      </c>
      <c r="C37" s="340" t="str">
        <f>'Unit Data from Audit Worksheet'!D42</f>
        <v>Total Expenses - Exclude Transfers</v>
      </c>
      <c r="D37" s="110"/>
      <c r="E37" s="361">
        <f>'Unit Data from Audit Worksheet'!F42</f>
        <v>0</v>
      </c>
      <c r="F37" s="354">
        <f>IF(L37&lt;0,"Error: Enter as a positive.",)</f>
        <v>0</v>
      </c>
      <c r="G37" s="356"/>
      <c r="H37" s="353">
        <f>'Unit Data from Audit Worksheet'!I42</f>
        <v>0</v>
      </c>
      <c r="I37" s="38"/>
      <c r="J37" s="352">
        <v>591</v>
      </c>
      <c r="K37" s="351" t="s">
        <v>375</v>
      </c>
      <c r="L37" s="589">
        <f t="shared" si="4"/>
        <v>0</v>
      </c>
      <c r="O37" s="597"/>
      <c r="P37" s="323"/>
      <c r="W37" s="3" t="b">
        <f t="shared" si="6"/>
        <v>1</v>
      </c>
      <c r="X37" s="586">
        <f t="shared" si="1"/>
        <v>0</v>
      </c>
      <c r="Y37" s="586">
        <f t="shared" si="2"/>
        <v>0</v>
      </c>
    </row>
    <row r="38" spans="1:25" s="723" customFormat="1" ht="66" customHeight="1" x14ac:dyDescent="0.25">
      <c r="A38" s="341">
        <f>'Unit Data from Audit Worksheet'!A43</f>
        <v>593</v>
      </c>
      <c r="B38" s="355" t="str">
        <f>'Unit Data from Audit Worksheet'!C43</f>
        <v>Statement of Activities - Business Activities</v>
      </c>
      <c r="C38" s="340" t="str">
        <f>'Unit Data from Audit Worksheet'!D43</f>
        <v>Total Transfers in    (Preference is that transfers-in  are not netted against transfers-out)</v>
      </c>
      <c r="D38" s="110"/>
      <c r="E38" s="361">
        <f>'Unit Data from Audit Worksheet'!F43</f>
        <v>0</v>
      </c>
      <c r="F38" s="354"/>
      <c r="G38" s="356"/>
      <c r="H38" s="353"/>
      <c r="I38" s="725"/>
      <c r="J38" s="352">
        <v>593</v>
      </c>
      <c r="K38" s="728" t="s">
        <v>1125</v>
      </c>
      <c r="L38" s="589">
        <f t="shared" si="4"/>
        <v>0</v>
      </c>
      <c r="O38" s="597"/>
      <c r="P38" s="323"/>
      <c r="Q38" s="579"/>
      <c r="X38" s="586"/>
      <c r="Y38" s="586"/>
    </row>
    <row r="39" spans="1:25" s="723" customFormat="1" ht="66" customHeight="1" x14ac:dyDescent="0.25">
      <c r="A39" s="341">
        <f>'Unit Data from Audit Worksheet'!A44</f>
        <v>594</v>
      </c>
      <c r="B39" s="355" t="str">
        <f>'Unit Data from Audit Worksheet'!C44</f>
        <v>Statement of Activities - Business Activities</v>
      </c>
      <c r="C39" s="340" t="str">
        <f>'Unit Data from Audit Worksheet'!D44</f>
        <v>Total Transfers out    (Preference is that transfers-in  are not netted against transfers-out)</v>
      </c>
      <c r="D39" s="110"/>
      <c r="E39" s="361">
        <f>'Unit Data from Audit Worksheet'!F44</f>
        <v>0</v>
      </c>
      <c r="F39" s="354"/>
      <c r="G39" s="356"/>
      <c r="H39" s="353"/>
      <c r="I39" s="725"/>
      <c r="J39" s="352">
        <v>594</v>
      </c>
      <c r="K39" s="728" t="s">
        <v>1126</v>
      </c>
      <c r="L39" s="589">
        <f t="shared" si="4"/>
        <v>0</v>
      </c>
      <c r="O39" s="597"/>
      <c r="P39" s="323"/>
      <c r="Q39" s="579"/>
      <c r="X39" s="586"/>
      <c r="Y39" s="586"/>
    </row>
    <row r="40" spans="1:25" s="723" customFormat="1" ht="66" customHeight="1" x14ac:dyDescent="0.25">
      <c r="A40" s="341">
        <f>'Unit Data from Audit Worksheet'!A46</f>
        <v>558</v>
      </c>
      <c r="B40" s="355" t="str">
        <f>'Unit Data from Audit Worksheet'!C46</f>
        <v>Mental Health-Balance Sheet - Non GAAP</v>
      </c>
      <c r="C40" s="340" t="str">
        <f>'Unit Data from Audit Worksheet'!D46</f>
        <v xml:space="preserve">All unrestricted cash and investments.  
Exclude restricted cash and cash held by a third party. </v>
      </c>
      <c r="D40" s="110"/>
      <c r="E40" s="361">
        <f>'Unit Data from Audit Worksheet'!F46</f>
        <v>0</v>
      </c>
      <c r="F40" s="354"/>
      <c r="G40" s="356"/>
      <c r="H40" s="353"/>
      <c r="I40" s="725"/>
      <c r="J40" s="352">
        <v>558</v>
      </c>
      <c r="K40" s="724" t="s">
        <v>1127</v>
      </c>
      <c r="L40" s="589">
        <f t="shared" si="4"/>
        <v>0</v>
      </c>
      <c r="O40" s="597"/>
      <c r="P40" s="323"/>
      <c r="Q40" s="579"/>
      <c r="X40" s="586"/>
      <c r="Y40" s="586"/>
    </row>
    <row r="41" spans="1:25" s="723" customFormat="1" ht="66" customHeight="1" x14ac:dyDescent="0.25">
      <c r="A41" s="341">
        <f>'Unit Data from Audit Worksheet'!A47</f>
        <v>559</v>
      </c>
      <c r="B41" s="355" t="str">
        <f>'Unit Data from Audit Worksheet'!C47</f>
        <v>Mental Health-Balance Sheet - Non GAAP</v>
      </c>
      <c r="C41" s="340" t="str">
        <f>'Unit Data from Audit Worksheet'!D47</f>
        <v>All restricted cash and investments</v>
      </c>
      <c r="D41" s="110"/>
      <c r="E41" s="361">
        <f>'Unit Data from Audit Worksheet'!F47</f>
        <v>0</v>
      </c>
      <c r="F41" s="354"/>
      <c r="G41" s="356"/>
      <c r="H41" s="353"/>
      <c r="I41" s="725"/>
      <c r="J41" s="352">
        <v>559</v>
      </c>
      <c r="K41" s="724" t="s">
        <v>1128</v>
      </c>
      <c r="L41" s="589">
        <f t="shared" si="4"/>
        <v>0</v>
      </c>
      <c r="O41" s="597"/>
      <c r="P41" s="323"/>
      <c r="Q41" s="579"/>
      <c r="X41" s="586"/>
      <c r="Y41" s="586"/>
    </row>
    <row r="42" spans="1:25" s="723" customFormat="1" ht="124.5" customHeight="1" x14ac:dyDescent="0.25">
      <c r="A42" s="341">
        <f>'Unit Data from Audit Worksheet'!A48</f>
        <v>560</v>
      </c>
      <c r="B42" s="355" t="str">
        <f>'Unit Data from Audit Worksheet'!C48</f>
        <v>Mental Health-Balance Sheet - Non GAAP</v>
      </c>
      <c r="C42" s="340" t="str">
        <f>'Unit Data from Audit Worksheet'!D48</f>
        <v>Current Liabilities 
Exclude: all deferred inflows
                 current debt service payments
Include: Liabilities payable from restricted assets.</v>
      </c>
      <c r="D42" s="110"/>
      <c r="E42" s="361">
        <f>'Unit Data from Audit Worksheet'!F48</f>
        <v>0</v>
      </c>
      <c r="F42" s="354"/>
      <c r="G42" s="356"/>
      <c r="H42" s="353"/>
      <c r="I42" s="725"/>
      <c r="J42" s="352">
        <v>560</v>
      </c>
      <c r="K42" s="724" t="s">
        <v>1129</v>
      </c>
      <c r="L42" s="589">
        <f t="shared" si="4"/>
        <v>0</v>
      </c>
      <c r="O42" s="597"/>
      <c r="P42" s="323"/>
      <c r="Q42" s="579"/>
      <c r="X42" s="586"/>
      <c r="Y42" s="586"/>
    </row>
    <row r="43" spans="1:25" s="723" customFormat="1" ht="66" customHeight="1" x14ac:dyDescent="0.25">
      <c r="A43" s="341">
        <f>'Unit Data from Audit Worksheet'!A49</f>
        <v>561</v>
      </c>
      <c r="B43" s="355" t="str">
        <f>'Unit Data from Audit Worksheet'!C49</f>
        <v>Mental Health-Balance Sheet - Non GAAP</v>
      </c>
      <c r="C43" s="340" t="str">
        <f>'Unit Data from Audit Worksheet'!D49</f>
        <v xml:space="preserve">Mental Health Enterprise Fund Non GAAP deferred inflows or liabilities derived from cash receipts.   </v>
      </c>
      <c r="D43" s="110"/>
      <c r="E43" s="361">
        <f>'Unit Data from Audit Worksheet'!F49</f>
        <v>0</v>
      </c>
      <c r="F43" s="354"/>
      <c r="G43" s="356"/>
      <c r="H43" s="353"/>
      <c r="I43" s="725"/>
      <c r="J43" s="352">
        <v>561</v>
      </c>
      <c r="K43" s="724" t="s">
        <v>1130</v>
      </c>
      <c r="L43" s="589">
        <f t="shared" si="4"/>
        <v>0</v>
      </c>
      <c r="O43" s="597"/>
      <c r="P43" s="323"/>
      <c r="Q43" s="579"/>
      <c r="X43" s="586"/>
      <c r="Y43" s="586"/>
    </row>
    <row r="44" spans="1:25" s="723" customFormat="1" ht="137.25" customHeight="1" x14ac:dyDescent="0.25">
      <c r="A44" s="341">
        <f>'Unit Data from Audit Worksheet'!A50</f>
        <v>563</v>
      </c>
      <c r="B44" s="355" t="str">
        <f>'Unit Data from Audit Worksheet'!C50</f>
        <v>Mental Health-Balance Sheet - Non GAAP</v>
      </c>
      <c r="C44" s="340"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61">
        <f>'Unit Data from Audit Worksheet'!F50</f>
        <v>0</v>
      </c>
      <c r="F44" s="354"/>
      <c r="G44" s="356"/>
      <c r="H44" s="353"/>
      <c r="I44" s="725"/>
      <c r="J44" s="352">
        <v>563</v>
      </c>
      <c r="K44" s="724" t="s">
        <v>1131</v>
      </c>
      <c r="L44" s="589">
        <f t="shared" si="4"/>
        <v>0</v>
      </c>
      <c r="O44" s="597"/>
      <c r="P44" s="323"/>
      <c r="Q44" s="579"/>
      <c r="X44" s="586"/>
      <c r="Y44" s="586"/>
    </row>
    <row r="45" spans="1:25" s="723" customFormat="1" ht="66" customHeight="1" x14ac:dyDescent="0.25">
      <c r="A45" s="341">
        <f>'Unit Data from Audit Worksheet'!A51</f>
        <v>564</v>
      </c>
      <c r="B45" s="355" t="str">
        <f>'Unit Data from Audit Worksheet'!C51</f>
        <v>Mental Health Enterprise Fund Non GAAP-Rev, Exp. Change in Fund Balance</v>
      </c>
      <c r="C45" s="340" t="str">
        <f>'Unit Data from Audit Worksheet'!D51</f>
        <v>Total expenditures  
Exclude: expenditures in the ""other financing sources (uses)"" section.</v>
      </c>
      <c r="D45" s="110"/>
      <c r="E45" s="361">
        <f>'Unit Data from Audit Worksheet'!F51</f>
        <v>0</v>
      </c>
      <c r="F45" s="354"/>
      <c r="G45" s="356"/>
      <c r="H45" s="353"/>
      <c r="I45" s="725"/>
      <c r="J45" s="352">
        <v>564</v>
      </c>
      <c r="K45" s="724" t="s">
        <v>1132</v>
      </c>
      <c r="L45" s="589">
        <f t="shared" si="4"/>
        <v>0</v>
      </c>
      <c r="O45" s="597"/>
      <c r="P45" s="323"/>
      <c r="Q45" s="579"/>
      <c r="X45" s="586"/>
      <c r="Y45" s="586"/>
    </row>
    <row r="46" spans="1:25" s="723" customFormat="1" ht="66" customHeight="1" x14ac:dyDescent="0.25">
      <c r="A46" s="341">
        <f>'Unit Data from Audit Worksheet'!A52</f>
        <v>568</v>
      </c>
      <c r="B46" s="355" t="str">
        <f>'Unit Data from Audit Worksheet'!C52</f>
        <v>Mental Health Enterprise Fund Non GAAP-Rev, Exp. Change in Fund Balance</v>
      </c>
      <c r="C46" s="340" t="str">
        <f>'Unit Data from Audit Worksheet'!D52</f>
        <v>Total Proceeds from all long-term debt issuances 
Exclude: proceeds from refundings</v>
      </c>
      <c r="D46" s="110"/>
      <c r="E46" s="361">
        <f>'Unit Data from Audit Worksheet'!F52</f>
        <v>0</v>
      </c>
      <c r="F46" s="354"/>
      <c r="G46" s="356"/>
      <c r="H46" s="353"/>
      <c r="I46" s="725"/>
      <c r="J46" s="352">
        <v>568</v>
      </c>
      <c r="K46" s="724" t="s">
        <v>1133</v>
      </c>
      <c r="L46" s="589">
        <f t="shared" si="4"/>
        <v>0</v>
      </c>
      <c r="O46" s="597"/>
      <c r="P46" s="323"/>
      <c r="Q46" s="579"/>
      <c r="X46" s="586"/>
      <c r="Y46" s="586"/>
    </row>
    <row r="47" spans="1:25" s="727" customFormat="1" ht="66" customHeight="1" x14ac:dyDescent="0.25">
      <c r="A47" s="341">
        <f>'Unit Data from Audit Worksheet'!A53</f>
        <v>565</v>
      </c>
      <c r="B47" s="355" t="str">
        <f>'Unit Data from Audit Worksheet'!C53</f>
        <v>Mental Health Enterprise Fund Non GAAP-Rev, Exp. Change in Fund Balance</v>
      </c>
      <c r="C47" s="340" t="str">
        <f>'Unit Data from Audit Worksheet'!D53</f>
        <v>Debt Refunding - Net refunding proceeds against debt payoff and if negative place results on this line.</v>
      </c>
      <c r="D47" s="110"/>
      <c r="E47" s="361">
        <f>'Unit Data from Audit Worksheet'!F53</f>
        <v>0</v>
      </c>
      <c r="F47" s="354"/>
      <c r="G47" s="356"/>
      <c r="H47" s="353"/>
      <c r="I47" s="729"/>
      <c r="J47" s="352">
        <v>565</v>
      </c>
      <c r="K47" s="724" t="s">
        <v>1267</v>
      </c>
      <c r="L47" s="589">
        <f t="shared" si="4"/>
        <v>0</v>
      </c>
      <c r="O47" s="597"/>
      <c r="P47" s="323"/>
      <c r="Q47" s="579"/>
      <c r="X47" s="586"/>
      <c r="Y47" s="586"/>
    </row>
    <row r="48" spans="1:25" s="723" customFormat="1" ht="66" customHeight="1" x14ac:dyDescent="0.25">
      <c r="A48" s="341">
        <f>'Unit Data from Audit Worksheet'!A54</f>
        <v>566</v>
      </c>
      <c r="B48" s="355" t="str">
        <f>'Unit Data from Audit Worksheet'!C54</f>
        <v>Mental Health Enterprise Fund Non GAAP-Rev, Exp. Change in Fund Balance</v>
      </c>
      <c r="C48" s="340" t="str">
        <f>'Unit Data from Audit Worksheet'!D54</f>
        <v>Debt Refunding - Net refunding proceeds against debt payoff and if positive place results on this line.</v>
      </c>
      <c r="D48" s="110"/>
      <c r="E48" s="361">
        <f>'Unit Data from Audit Worksheet'!F54</f>
        <v>0</v>
      </c>
      <c r="F48" s="354"/>
      <c r="G48" s="356"/>
      <c r="H48" s="353"/>
      <c r="I48" s="725"/>
      <c r="J48" s="352">
        <v>566</v>
      </c>
      <c r="K48" s="724" t="s">
        <v>1134</v>
      </c>
      <c r="L48" s="589">
        <f t="shared" si="4"/>
        <v>0</v>
      </c>
      <c r="O48" s="597"/>
      <c r="P48" s="323"/>
      <c r="Q48" s="579"/>
      <c r="X48" s="586"/>
      <c r="Y48" s="586"/>
    </row>
    <row r="49" spans="1:25" s="723" customFormat="1" ht="66" customHeight="1" x14ac:dyDescent="0.25">
      <c r="A49" s="341">
        <f>'Unit Data from Audit Worksheet'!A55</f>
        <v>567</v>
      </c>
      <c r="B49" s="355" t="str">
        <f>'Unit Data from Audit Worksheet'!C55</f>
        <v>Mental Health Enterprise Fund Non GAAP-Rev, Exp. Change in Fund Balance</v>
      </c>
      <c r="C49" s="340" t="str">
        <f>'Unit Data from Audit Worksheet'!D55</f>
        <v>Total Transfers out    (Preference is that transfers-in  are not netted against transfers-out)</v>
      </c>
      <c r="D49" s="110"/>
      <c r="E49" s="361">
        <f>'Unit Data from Audit Worksheet'!F55</f>
        <v>0</v>
      </c>
      <c r="F49" s="354"/>
      <c r="G49" s="356"/>
      <c r="H49" s="353"/>
      <c r="I49" s="725"/>
      <c r="J49" s="352">
        <v>567</v>
      </c>
      <c r="K49" s="724" t="s">
        <v>1135</v>
      </c>
      <c r="L49" s="589">
        <f t="shared" si="4"/>
        <v>0</v>
      </c>
      <c r="O49" s="597"/>
      <c r="P49" s="323"/>
      <c r="Q49" s="579"/>
      <c r="X49" s="586"/>
      <c r="Y49" s="586"/>
    </row>
    <row r="50" spans="1:25" s="723" customFormat="1" ht="66" customHeight="1" x14ac:dyDescent="0.25">
      <c r="A50" s="341">
        <f>'Unit Data from Audit Worksheet'!A56</f>
        <v>562</v>
      </c>
      <c r="B50" s="355" t="str">
        <f>'Unit Data from Audit Worksheet'!C56</f>
        <v>Notes</v>
      </c>
      <c r="C50" s="340" t="str">
        <f>'Unit Data from Audit Worksheet'!D56</f>
        <v>Mental Health Enterprise Fund Non GAAP -  Total Encumbrances.  You will have to refer to the note disclosure where the amount of encumbrances is listed.</v>
      </c>
      <c r="D50" s="110"/>
      <c r="E50" s="361">
        <f>'Unit Data from Audit Worksheet'!F56</f>
        <v>0</v>
      </c>
      <c r="F50" s="354"/>
      <c r="G50" s="356"/>
      <c r="H50" s="353"/>
      <c r="I50" s="725"/>
      <c r="J50" s="352">
        <v>562</v>
      </c>
      <c r="K50" s="724" t="s">
        <v>1136</v>
      </c>
      <c r="L50" s="589">
        <f t="shared" si="4"/>
        <v>0</v>
      </c>
      <c r="O50" s="597"/>
      <c r="P50" s="323"/>
      <c r="Q50" s="579"/>
      <c r="X50" s="586"/>
      <c r="Y50" s="586"/>
    </row>
    <row r="51" spans="1:25" s="723" customFormat="1" ht="66" customHeight="1" x14ac:dyDescent="0.25">
      <c r="A51" s="341">
        <f>'Unit Data from Audit Worksheet'!A57</f>
        <v>569</v>
      </c>
      <c r="B51" s="355" t="str">
        <f>'Unit Data from Audit Worksheet'!C57</f>
        <v>Notes</v>
      </c>
      <c r="C51" s="340" t="str">
        <f>'Unit Data from Audit Worksheet'!D57</f>
        <v>Please enter the principal and interest due next fiscal year on existing borrowings.</v>
      </c>
      <c r="D51" s="110"/>
      <c r="E51" s="361">
        <f>'Unit Data from Audit Worksheet'!F57</f>
        <v>0</v>
      </c>
      <c r="F51" s="354"/>
      <c r="G51" s="356"/>
      <c r="H51" s="353"/>
      <c r="I51" s="725"/>
      <c r="J51" s="352">
        <v>569</v>
      </c>
      <c r="K51" s="724" t="s">
        <v>1137</v>
      </c>
      <c r="L51" s="589">
        <f t="shared" si="4"/>
        <v>0</v>
      </c>
      <c r="O51" s="597"/>
      <c r="P51" s="323"/>
      <c r="Q51" s="579"/>
      <c r="X51" s="586"/>
      <c r="Y51" s="586"/>
    </row>
    <row r="52" spans="1:25" ht="54" customHeight="1" x14ac:dyDescent="0.25">
      <c r="A52" s="341">
        <f>'Unit Data from Audit Worksheet'!A59</f>
        <v>506</v>
      </c>
      <c r="B52" s="53" t="str">
        <f>'Unit Data from Audit Worksheet'!C59</f>
        <v>General Fund-Balance Sheet</v>
      </c>
      <c r="C52" s="599" t="str">
        <f>'Unit Data from Audit Worksheet'!D59</f>
        <v xml:space="preserve">All unrestricted cash and investments.  
Exclude restricted cash and cash held by a third party. </v>
      </c>
      <c r="D52" s="110"/>
      <c r="E52" s="152">
        <f>'Unit Data from Audit Worksheet'!F59</f>
        <v>0</v>
      </c>
      <c r="F52" s="37">
        <f>IF(L52&lt;0,"Error: Number is normally positive.",)</f>
        <v>0</v>
      </c>
      <c r="G52" s="73"/>
      <c r="H52" s="353">
        <f>'Unit Data from Audit Worksheet'!I59</f>
        <v>0</v>
      </c>
      <c r="I52" s="38"/>
      <c r="J52" s="41">
        <v>506</v>
      </c>
      <c r="K52" s="351" t="s">
        <v>198</v>
      </c>
      <c r="L52" s="600">
        <f t="shared" ref="L52:L65" si="7">IF(D52="",E52,D52)</f>
        <v>0</v>
      </c>
      <c r="P52" s="323"/>
      <c r="W52" s="3" t="b">
        <f t="shared" si="6"/>
        <v>1</v>
      </c>
      <c r="X52" s="586">
        <f t="shared" si="1"/>
        <v>0</v>
      </c>
      <c r="Y52" s="586">
        <f t="shared" si="2"/>
        <v>0</v>
      </c>
    </row>
    <row r="53" spans="1:25" ht="45.75" customHeight="1" x14ac:dyDescent="0.25">
      <c r="A53" s="341">
        <f>'Unit Data from Audit Worksheet'!A60</f>
        <v>536</v>
      </c>
      <c r="B53" s="53" t="str">
        <f>'Unit Data from Audit Worksheet'!C60</f>
        <v>General Fund-Balance Sheet</v>
      </c>
      <c r="C53" s="599" t="str">
        <f>'Unit Data from Audit Worksheet'!D60</f>
        <v>All restricted cash and investments</v>
      </c>
      <c r="D53" s="110"/>
      <c r="E53" s="152">
        <f>'Unit Data from Audit Worksheet'!F60</f>
        <v>0</v>
      </c>
      <c r="F53" s="37">
        <f>IF(L53&lt;0,"Error: Number is normally positive.",)</f>
        <v>0</v>
      </c>
      <c r="G53" s="73"/>
      <c r="H53" s="353">
        <f>'Unit Data from Audit Worksheet'!I60</f>
        <v>0</v>
      </c>
      <c r="I53" s="38"/>
      <c r="J53" s="41">
        <v>536</v>
      </c>
      <c r="K53" s="351" t="s">
        <v>199</v>
      </c>
      <c r="L53" s="600">
        <f t="shared" si="7"/>
        <v>0</v>
      </c>
      <c r="P53" s="323"/>
      <c r="W53" s="3" t="b">
        <f t="shared" si="6"/>
        <v>1</v>
      </c>
      <c r="X53" s="586">
        <f t="shared" si="1"/>
        <v>0</v>
      </c>
      <c r="Y53" s="586">
        <f t="shared" si="2"/>
        <v>0</v>
      </c>
    </row>
    <row r="54" spans="1:25" ht="56.25" customHeight="1" x14ac:dyDescent="0.25">
      <c r="A54" s="341">
        <f>'Unit Data from Audit Worksheet'!A61</f>
        <v>586</v>
      </c>
      <c r="B54" s="355" t="str">
        <f>'Unit Data from Audit Worksheet'!C61</f>
        <v>General Fund-Balance Sheet</v>
      </c>
      <c r="C54" s="340" t="str">
        <f>'Unit Data from Audit Worksheet'!D61</f>
        <v>Advance To: Interfund loan receivable-portion of repayment plan longer than 12 months</v>
      </c>
      <c r="D54" s="142"/>
      <c r="E54" s="361">
        <f>'Unit Data from Audit Worksheet'!F61</f>
        <v>0</v>
      </c>
      <c r="F54" s="354"/>
      <c r="G54" s="356"/>
      <c r="H54" s="353"/>
      <c r="I54" s="38"/>
      <c r="J54" s="352">
        <v>586</v>
      </c>
      <c r="K54" s="340" t="s">
        <v>356</v>
      </c>
      <c r="L54" s="589">
        <f t="shared" si="7"/>
        <v>0</v>
      </c>
      <c r="P54" s="323"/>
      <c r="W54" s="3" t="b">
        <f t="shared" si="6"/>
        <v>1</v>
      </c>
      <c r="X54" s="586">
        <f t="shared" si="1"/>
        <v>0</v>
      </c>
      <c r="Y54" s="586">
        <f t="shared" si="2"/>
        <v>0</v>
      </c>
    </row>
    <row r="55" spans="1:25" ht="30" x14ac:dyDescent="0.25">
      <c r="A55" s="341">
        <f>'Unit Data from Audit Worksheet'!A62</f>
        <v>379</v>
      </c>
      <c r="B55" s="355" t="str">
        <f>'Unit Data from Audit Worksheet'!C62</f>
        <v>General Fund-Balance Sheet</v>
      </c>
      <c r="C55" s="340" t="str">
        <f>'Unit Data from Audit Worksheet'!D62</f>
        <v>Total Assets and deferred outflows</v>
      </c>
      <c r="D55" s="142"/>
      <c r="E55" s="361">
        <f>'Unit Data from Audit Worksheet'!F62</f>
        <v>0</v>
      </c>
      <c r="F55" s="84">
        <f>IF((L52+L53)&gt;L55,"Error: Please review accts (506+536)&gt;379",)</f>
        <v>0</v>
      </c>
      <c r="G55" s="356" t="str">
        <f>IF(Q55=1," Included in error count"," ")</f>
        <v xml:space="preserve"> </v>
      </c>
      <c r="H55" s="353">
        <f>'Unit Data from Audit Worksheet'!I62</f>
        <v>0</v>
      </c>
      <c r="I55" s="38"/>
      <c r="J55" s="352">
        <v>379</v>
      </c>
      <c r="K55" s="351" t="s">
        <v>118</v>
      </c>
      <c r="L55" s="589">
        <f t="shared" si="7"/>
        <v>0</v>
      </c>
      <c r="P55" s="323"/>
      <c r="Q55" s="579">
        <f>IF(L52+L53&gt;L55,1,0)</f>
        <v>0</v>
      </c>
      <c r="W55" s="3" t="b">
        <f t="shared" si="6"/>
        <v>1</v>
      </c>
      <c r="X55" s="586">
        <f t="shared" si="1"/>
        <v>0</v>
      </c>
      <c r="Y55" s="586">
        <f t="shared" si="2"/>
        <v>0</v>
      </c>
    </row>
    <row r="56" spans="1:25" ht="106.5" customHeight="1" x14ac:dyDescent="0.25">
      <c r="A56" s="341">
        <f>'Unit Data from Audit Worksheet'!A63</f>
        <v>368</v>
      </c>
      <c r="B56" s="355" t="str">
        <f>'Unit Data from Audit Worksheet'!C63</f>
        <v>General Fund-Balance Sheet</v>
      </c>
      <c r="C56" s="340" t="str">
        <f>'Unit Data from Audit Worksheet'!D63</f>
        <v>Total Liabilities payable from restricted assets (only complete if this is listed in your financial statements for the general fund and the auditor has listed the cash to be used to pay the liabilities as restricted)</v>
      </c>
      <c r="D56" s="142"/>
      <c r="E56" s="361">
        <f>'Unit Data from Audit Worksheet'!F63</f>
        <v>0</v>
      </c>
      <c r="F56" s="354">
        <f>IF(L56&lt;0,"Error: Enter as a positive.",)</f>
        <v>0</v>
      </c>
      <c r="G56" s="356"/>
      <c r="H56" s="353">
        <f>'Unit Data from Audit Worksheet'!I63</f>
        <v>0</v>
      </c>
      <c r="I56" s="38"/>
      <c r="J56" s="352">
        <v>368</v>
      </c>
      <c r="K56" s="351" t="s">
        <v>200</v>
      </c>
      <c r="L56" s="589">
        <f t="shared" si="7"/>
        <v>0</v>
      </c>
      <c r="P56" s="323"/>
      <c r="W56" s="3" t="b">
        <f t="shared" si="6"/>
        <v>1</v>
      </c>
      <c r="X56" s="586">
        <f t="shared" si="1"/>
        <v>0</v>
      </c>
      <c r="Y56" s="586">
        <f t="shared" si="2"/>
        <v>0</v>
      </c>
    </row>
    <row r="57" spans="1:25" ht="90.75" customHeight="1" x14ac:dyDescent="0.25">
      <c r="A57" s="341">
        <f>'Unit Data from Audit Worksheet'!A64</f>
        <v>4</v>
      </c>
      <c r="B57" s="53" t="str">
        <f>'Unit Data from Audit Worksheet'!C64</f>
        <v>General Fund-Balance Sheet</v>
      </c>
      <c r="C57" s="599" t="str">
        <f>'Unit Data from Audit Worksheet'!D64</f>
        <v>Current Liabilities (as reported on the Balance Sheet)
Exclude all deferred inflows. 
Include advance from(long-term portion of interfund loans)</v>
      </c>
      <c r="D57" s="142"/>
      <c r="E57" s="152">
        <f>'Unit Data from Audit Worksheet'!F64</f>
        <v>0</v>
      </c>
      <c r="F57" s="37">
        <f t="shared" ref="F57:F66" si="8">IF(L57&lt;0,"Error: Enter as a positive.",)</f>
        <v>0</v>
      </c>
      <c r="G57" s="73"/>
      <c r="H57" s="353">
        <f>'Unit Data from Audit Worksheet'!I64</f>
        <v>0</v>
      </c>
      <c r="I57" s="38"/>
      <c r="J57" s="41">
        <v>4</v>
      </c>
      <c r="K57" s="351" t="s">
        <v>119</v>
      </c>
      <c r="L57" s="600">
        <f t="shared" si="7"/>
        <v>0</v>
      </c>
      <c r="P57" s="323"/>
      <c r="W57" s="3" t="b">
        <f t="shared" si="6"/>
        <v>1</v>
      </c>
      <c r="X57" s="586">
        <f t="shared" si="1"/>
        <v>0</v>
      </c>
      <c r="Y57" s="586">
        <f t="shared" si="2"/>
        <v>0</v>
      </c>
    </row>
    <row r="58" spans="1:25" ht="131.25" customHeight="1" x14ac:dyDescent="0.25">
      <c r="A58" s="341">
        <f>'Unit Data from Audit Worksheet'!A65</f>
        <v>5</v>
      </c>
      <c r="B58" s="53" t="str">
        <f>'Unit Data from Audit Worksheet'!C65</f>
        <v>General Fund-Balance Sheet</v>
      </c>
      <c r="C58" s="599"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2"/>
      <c r="E58" s="152">
        <f>'Unit Data from Audit Worksheet'!F65</f>
        <v>0</v>
      </c>
      <c r="F58" s="37">
        <f t="shared" si="8"/>
        <v>0</v>
      </c>
      <c r="G58" s="73"/>
      <c r="H58" s="353">
        <f>'Unit Data from Audit Worksheet'!I65</f>
        <v>0</v>
      </c>
      <c r="I58" s="38"/>
      <c r="J58" s="41">
        <v>5</v>
      </c>
      <c r="K58" s="351" t="s">
        <v>120</v>
      </c>
      <c r="L58" s="600">
        <f t="shared" si="7"/>
        <v>0</v>
      </c>
      <c r="P58" s="323"/>
      <c r="W58" s="3" t="b">
        <f t="shared" si="6"/>
        <v>1</v>
      </c>
      <c r="X58" s="586">
        <f t="shared" si="1"/>
        <v>0</v>
      </c>
      <c r="Y58" s="586">
        <f t="shared" si="2"/>
        <v>0</v>
      </c>
    </row>
    <row r="59" spans="1:25" ht="104.25" customHeight="1" x14ac:dyDescent="0.25">
      <c r="A59" s="341">
        <f>'Unit Data from Audit Worksheet'!A66</f>
        <v>380</v>
      </c>
      <c r="B59" s="355" t="str">
        <f>'Unit Data from Audit Worksheet'!C66</f>
        <v>General Fund-Balance Sheet</v>
      </c>
      <c r="C59" s="340" t="str">
        <f>'Unit Data from Audit Worksheet'!D66</f>
        <v>Total Deferred inflows not derived from cash receipts.  Deferred inflows on the face of the statements can include cash and non-cash.  You may have to refer to the note disclosure where the cash and non-cash is broken out.</v>
      </c>
      <c r="D59" s="142"/>
      <c r="E59" s="361">
        <f>'Unit Data from Audit Worksheet'!F66</f>
        <v>0</v>
      </c>
      <c r="F59" s="354">
        <f t="shared" si="8"/>
        <v>0</v>
      </c>
      <c r="G59" s="356"/>
      <c r="H59" s="353">
        <f>'Unit Data from Audit Worksheet'!I66</f>
        <v>0</v>
      </c>
      <c r="I59" s="38"/>
      <c r="J59" s="352">
        <v>380</v>
      </c>
      <c r="K59" s="351" t="s">
        <v>121</v>
      </c>
      <c r="L59" s="589">
        <f t="shared" si="7"/>
        <v>0</v>
      </c>
      <c r="P59" s="323"/>
      <c r="W59" s="3" t="b">
        <f t="shared" si="6"/>
        <v>1</v>
      </c>
      <c r="X59" s="586">
        <f t="shared" si="1"/>
        <v>0</v>
      </c>
      <c r="Y59" s="586">
        <f t="shared" si="2"/>
        <v>0</v>
      </c>
    </row>
    <row r="60" spans="1:25" ht="41.25" customHeight="1" x14ac:dyDescent="0.25">
      <c r="A60" s="341">
        <f>'Unit Data from Audit Worksheet'!A67</f>
        <v>391</v>
      </c>
      <c r="B60" s="355" t="str">
        <f>'Unit Data from Audit Worksheet'!C67</f>
        <v>General Fund-Balance Sheet</v>
      </c>
      <c r="C60" s="340" t="str">
        <f>'Unit Data from Audit Worksheet'!D67</f>
        <v xml:space="preserve">Fund balance, Restricted for Stabilization by State Statute </v>
      </c>
      <c r="D60" s="142"/>
      <c r="E60" s="361">
        <f>'Unit Data from Audit Worksheet'!F67</f>
        <v>0</v>
      </c>
      <c r="F60" s="354">
        <f t="shared" si="8"/>
        <v>0</v>
      </c>
      <c r="G60" s="356"/>
      <c r="H60" s="353">
        <f>'Unit Data from Audit Worksheet'!I67</f>
        <v>0</v>
      </c>
      <c r="I60" s="38"/>
      <c r="J60" s="352">
        <v>391</v>
      </c>
      <c r="K60" s="351" t="s">
        <v>201</v>
      </c>
      <c r="L60" s="589">
        <f t="shared" si="7"/>
        <v>0</v>
      </c>
      <c r="P60" s="323"/>
      <c r="W60" s="3" t="b">
        <f t="shared" si="6"/>
        <v>1</v>
      </c>
      <c r="X60" s="586">
        <f t="shared" si="1"/>
        <v>0</v>
      </c>
      <c r="Y60" s="586">
        <f t="shared" si="2"/>
        <v>0</v>
      </c>
    </row>
    <row r="61" spans="1:25" ht="30" x14ac:dyDescent="0.25">
      <c r="A61" s="341">
        <f>'Unit Data from Audit Worksheet'!A68</f>
        <v>7</v>
      </c>
      <c r="B61" s="53" t="str">
        <f>'Unit Data from Audit Worksheet'!C68</f>
        <v>General Fund-Balance Sheet</v>
      </c>
      <c r="C61" s="599" t="str">
        <f>'Unit Data from Audit Worksheet'!D68</f>
        <v>Fund balance, Nonspendable-  inventory/prepaids/etc.</v>
      </c>
      <c r="D61" s="142"/>
      <c r="E61" s="152">
        <f>'Unit Data from Audit Worksheet'!F68</f>
        <v>0</v>
      </c>
      <c r="F61" s="37">
        <f t="shared" si="8"/>
        <v>0</v>
      </c>
      <c r="G61" s="73"/>
      <c r="H61" s="353">
        <f>'Unit Data from Audit Worksheet'!I68</f>
        <v>0</v>
      </c>
      <c r="I61" s="38"/>
      <c r="J61" s="41">
        <v>7</v>
      </c>
      <c r="K61" s="351" t="s">
        <v>202</v>
      </c>
      <c r="L61" s="600">
        <f t="shared" si="7"/>
        <v>0</v>
      </c>
      <c r="P61" s="323"/>
      <c r="W61" s="3" t="b">
        <f t="shared" si="6"/>
        <v>1</v>
      </c>
      <c r="X61" s="586">
        <f t="shared" si="1"/>
        <v>0</v>
      </c>
      <c r="Y61" s="586">
        <f t="shared" si="2"/>
        <v>0</v>
      </c>
    </row>
    <row r="62" spans="1:25" ht="89.25" customHeight="1" x14ac:dyDescent="0.25">
      <c r="A62" s="601">
        <f>'Unit Data from Audit Worksheet'!A69</f>
        <v>11</v>
      </c>
      <c r="B62" s="117" t="str">
        <f>'Unit Data from Audit Worksheet'!C69</f>
        <v>General Fund-Balance Sheet</v>
      </c>
      <c r="C62" s="591" t="str">
        <f>'Unit Data from Audit Worksheet'!D69</f>
        <v>Fund balance, Restricted for Streets (unspent Powell Bill balance).  You may have to refer to the note disclosure where restricted fund balance is described.</v>
      </c>
      <c r="D62" s="110"/>
      <c r="E62" s="153">
        <f>'Unit Data from Audit Worksheet'!F69</f>
        <v>0</v>
      </c>
      <c r="F62" s="111">
        <f t="shared" si="8"/>
        <v>0</v>
      </c>
      <c r="G62" s="112"/>
      <c r="H62" s="113">
        <f>'Unit Data from Audit Worksheet'!I69</f>
        <v>0</v>
      </c>
      <c r="I62" s="38"/>
      <c r="J62" s="105">
        <v>11</v>
      </c>
      <c r="K62" s="44" t="s">
        <v>203</v>
      </c>
      <c r="L62" s="589">
        <f t="shared" si="7"/>
        <v>0</v>
      </c>
      <c r="P62" s="324"/>
      <c r="W62" s="3" t="b">
        <f t="shared" si="6"/>
        <v>1</v>
      </c>
      <c r="X62" s="586">
        <f t="shared" si="1"/>
        <v>0</v>
      </c>
      <c r="Y62" s="586">
        <f t="shared" si="2"/>
        <v>0</v>
      </c>
    </row>
    <row r="63" spans="1:25" s="18" customFormat="1" ht="48.75" customHeight="1" x14ac:dyDescent="0.25">
      <c r="A63" s="312">
        <f>'Unit Data from Audit Worksheet'!A70</f>
        <v>645</v>
      </c>
      <c r="B63" s="368" t="str">
        <f>'Unit Data from Audit Worksheet'!C70</f>
        <v>General Fund-Balance Sheet</v>
      </c>
      <c r="C63" s="312" t="str">
        <f>'Unit Data from Audit Worksheet'!D70</f>
        <v>Fund balance, Assigned (total of all assigned components)</v>
      </c>
      <c r="D63" s="116"/>
      <c r="E63" s="367">
        <f>'Unit Data from Audit Worksheet'!F70</f>
        <v>0</v>
      </c>
      <c r="F63" s="349">
        <f>IF(L63&lt;0,"Error: Enter as a positive.",)</f>
        <v>0</v>
      </c>
      <c r="G63" s="334"/>
      <c r="H63" s="349">
        <f>'Unit Data from Audit Worksheet'!I70</f>
        <v>0</v>
      </c>
      <c r="I63" s="602"/>
      <c r="J63" s="348">
        <v>645</v>
      </c>
      <c r="K63" s="312" t="s">
        <v>483</v>
      </c>
      <c r="L63" s="603">
        <f t="shared" si="7"/>
        <v>0</v>
      </c>
      <c r="M63" s="593"/>
      <c r="N63" s="593"/>
      <c r="O63" s="593"/>
      <c r="P63" s="325"/>
      <c r="Q63" s="594"/>
      <c r="R63" s="3"/>
      <c r="S63" s="593"/>
      <c r="T63" s="593"/>
      <c r="U63" s="593"/>
      <c r="V63" s="593"/>
      <c r="W63" s="18" t="b">
        <f t="shared" si="6"/>
        <v>1</v>
      </c>
      <c r="X63" s="595">
        <f t="shared" si="1"/>
        <v>0</v>
      </c>
      <c r="Y63" s="595">
        <f t="shared" si="2"/>
        <v>0</v>
      </c>
    </row>
    <row r="64" spans="1:25" s="18" customFormat="1" ht="45.75" customHeight="1" x14ac:dyDescent="0.25">
      <c r="A64" s="312">
        <f>'Unit Data from Audit Worksheet'!A71</f>
        <v>646</v>
      </c>
      <c r="B64" s="368" t="str">
        <f>'Unit Data from Audit Worksheet'!C71</f>
        <v>General Fund-Balance Sheet</v>
      </c>
      <c r="C64" s="312" t="str">
        <f>'Unit Data from Audit Worksheet'!D71</f>
        <v>Fund Balance, Unassigned</v>
      </c>
      <c r="D64" s="116"/>
      <c r="E64" s="367">
        <f>'Unit Data from Audit Worksheet'!F71</f>
        <v>0</v>
      </c>
      <c r="F64" s="349">
        <f>IF(L64&lt;0,"Error: Enter as a positive.",)</f>
        <v>0</v>
      </c>
      <c r="G64" s="334"/>
      <c r="H64" s="349">
        <f>'Unit Data from Audit Worksheet'!I71</f>
        <v>0</v>
      </c>
      <c r="I64" s="602"/>
      <c r="J64" s="348">
        <v>646</v>
      </c>
      <c r="K64" s="312" t="s">
        <v>484</v>
      </c>
      <c r="L64" s="603">
        <f t="shared" si="7"/>
        <v>0</v>
      </c>
      <c r="M64" s="593"/>
      <c r="N64" s="593"/>
      <c r="O64" s="593"/>
      <c r="P64" s="325"/>
      <c r="Q64" s="594"/>
      <c r="R64" s="3"/>
      <c r="S64" s="593"/>
      <c r="T64" s="593"/>
      <c r="U64" s="593"/>
      <c r="V64" s="593"/>
      <c r="W64" s="18" t="b">
        <f t="shared" si="6"/>
        <v>1</v>
      </c>
      <c r="X64" s="595">
        <f t="shared" si="1"/>
        <v>0</v>
      </c>
      <c r="Y64" s="595">
        <f t="shared" si="2"/>
        <v>0</v>
      </c>
    </row>
    <row r="65" spans="1:27" ht="55.5" customHeight="1" x14ac:dyDescent="0.25">
      <c r="A65" s="587">
        <f>'Unit Data from Audit Worksheet'!A72</f>
        <v>9</v>
      </c>
      <c r="B65" s="118" t="str">
        <f>'Unit Data from Audit Worksheet'!C72</f>
        <v>General Fund-Balance Sheet</v>
      </c>
      <c r="C65" s="604" t="str">
        <f>'Unit Data from Audit Worksheet'!D72</f>
        <v>Total Fund balance (enter fund deficits as negative)</v>
      </c>
      <c r="D65" s="142"/>
      <c r="E65" s="151">
        <f>'Unit Data from Audit Worksheet'!F72</f>
        <v>0</v>
      </c>
      <c r="F65" s="119">
        <f>IF(L55-L57-L58-L59-L65=0,,"Error: Total assets less total liabilities do not equal Acct +379-4-5-380-9=0")</f>
        <v>0</v>
      </c>
      <c r="G65" s="120">
        <f>L55-L57-L58-L59-L65</f>
        <v>0</v>
      </c>
      <c r="H65" s="353">
        <f>'Unit Data from Audit Worksheet'!I72</f>
        <v>0</v>
      </c>
      <c r="I65" s="38"/>
      <c r="J65" s="121">
        <v>9</v>
      </c>
      <c r="K65" s="51" t="s">
        <v>204</v>
      </c>
      <c r="L65" s="600">
        <f t="shared" si="7"/>
        <v>0</v>
      </c>
      <c r="O65" s="597" t="e">
        <f>'Unit Data from Audit Worksheet'!E72</f>
        <v>#N/A</v>
      </c>
      <c r="P65" s="322"/>
      <c r="Q65" s="579">
        <f>IF(G65&lt;&gt;0,1,0)</f>
        <v>0</v>
      </c>
      <c r="W65" s="3" t="b">
        <f t="shared" si="6"/>
        <v>1</v>
      </c>
      <c r="X65" s="586">
        <f t="shared" si="1"/>
        <v>0</v>
      </c>
      <c r="Y65" s="586">
        <f t="shared" si="2"/>
        <v>0</v>
      </c>
    </row>
    <row r="66" spans="1:27" s="18" customFormat="1" ht="73.5" customHeight="1" x14ac:dyDescent="0.25">
      <c r="A66" s="341">
        <f>'Unit Data from Audit Worksheet'!A73</f>
        <v>540</v>
      </c>
      <c r="B66" s="355" t="str">
        <f>'Unit Data from Audit Worksheet'!C73</f>
        <v>General Fund - Budget Actual Statement</v>
      </c>
      <c r="C66" s="340" t="str">
        <f>'Unit Data from Audit Worksheet'!D73</f>
        <v>Amount of the General Fund Balance appropriated in next year's budget. As reported on the General Fund Balance Sheet.</v>
      </c>
      <c r="D66" s="142"/>
      <c r="E66" s="361">
        <f>'Unit Data from Audit Worksheet'!F73</f>
        <v>0</v>
      </c>
      <c r="F66" s="354">
        <f t="shared" si="8"/>
        <v>0</v>
      </c>
      <c r="G66" s="356"/>
      <c r="H66" s="353">
        <f>'Unit Data from Audit Worksheet'!I73</f>
        <v>0</v>
      </c>
      <c r="I66" s="38"/>
      <c r="J66" s="352">
        <v>540</v>
      </c>
      <c r="K66" s="351" t="s">
        <v>267</v>
      </c>
      <c r="L66" s="589">
        <f t="shared" ref="L66:L123" si="9">IF(D66="",E66,D66)</f>
        <v>0</v>
      </c>
      <c r="P66" s="323"/>
      <c r="Q66" s="579"/>
      <c r="R66" s="3"/>
      <c r="W66" s="3" t="b">
        <f t="shared" si="6"/>
        <v>1</v>
      </c>
      <c r="X66" s="586">
        <f t="shared" si="1"/>
        <v>0</v>
      </c>
      <c r="Y66" s="586">
        <f t="shared" si="2"/>
        <v>0</v>
      </c>
      <c r="AA66" s="3"/>
    </row>
    <row r="67" spans="1:27" s="18" customFormat="1" ht="73.5" customHeight="1" x14ac:dyDescent="0.25">
      <c r="A67" s="605">
        <f>'Unit Data from Audit Worksheet'!A75</f>
        <v>984</v>
      </c>
      <c r="B67" s="359" t="str">
        <f>'Unit Data from Audit Worksheet'!C75</f>
        <v>General Fund - Budget Actual Statement</v>
      </c>
      <c r="C67" s="606" t="str">
        <f>'Unit Data from Audit Worksheet'!D75</f>
        <v>Amount of Ad valorem tax collected (including motor vehicle and prior years) reported on budget actual statement</v>
      </c>
      <c r="D67" s="142"/>
      <c r="E67" s="362">
        <f>'Unit Data from Audit Worksheet'!F75</f>
        <v>0</v>
      </c>
      <c r="F67" s="354"/>
      <c r="G67" s="356"/>
      <c r="H67" s="353"/>
      <c r="I67" s="38"/>
      <c r="J67" s="370">
        <v>984</v>
      </c>
      <c r="K67" s="126" t="s">
        <v>838</v>
      </c>
      <c r="L67" s="607">
        <f t="shared" si="9"/>
        <v>0</v>
      </c>
      <c r="P67" s="323"/>
      <c r="Q67" s="579"/>
      <c r="R67" s="3"/>
      <c r="W67" s="3"/>
      <c r="X67" s="586"/>
      <c r="Y67" s="586"/>
      <c r="AA67" s="3"/>
    </row>
    <row r="68" spans="1:27" s="18" customFormat="1" ht="73.5" customHeight="1" x14ac:dyDescent="0.25">
      <c r="A68" s="605">
        <f>'Unit Data from Audit Worksheet'!A76</f>
        <v>985</v>
      </c>
      <c r="B68" s="359" t="str">
        <f>'Unit Data from Audit Worksheet'!C76</f>
        <v>General Fund - Budget Actual Statement</v>
      </c>
      <c r="C68" s="606" t="str">
        <f>'Unit Data from Audit Worksheet'!D76</f>
        <v>Amount of Ad valorem tax budgeted (including motor vehicle and prior years) reported on budget actual statement</v>
      </c>
      <c r="D68" s="142"/>
      <c r="E68" s="362">
        <f>'Unit Data from Audit Worksheet'!F76</f>
        <v>0</v>
      </c>
      <c r="F68" s="354"/>
      <c r="G68" s="356"/>
      <c r="H68" s="353"/>
      <c r="I68" s="38"/>
      <c r="J68" s="370">
        <v>985</v>
      </c>
      <c r="K68" s="126" t="s">
        <v>839</v>
      </c>
      <c r="L68" s="607">
        <f t="shared" si="9"/>
        <v>0</v>
      </c>
      <c r="P68" s="323"/>
      <c r="Q68" s="579"/>
      <c r="R68" s="3"/>
      <c r="W68" s="3"/>
      <c r="X68" s="586"/>
      <c r="Y68" s="586"/>
      <c r="AA68" s="3"/>
    </row>
    <row r="69" spans="1:27" ht="73.5" customHeight="1" x14ac:dyDescent="0.25">
      <c r="A69" s="341">
        <f>'Unit Data from Audit Worksheet'!A77</f>
        <v>369</v>
      </c>
      <c r="B69" s="355" t="str">
        <f>'Unit Data from Audit Worksheet'!C77</f>
        <v>General Fund-Rev, Exp. Change in Fund Balance</v>
      </c>
      <c r="C69" s="340" t="str">
        <f>'Unit Data from Audit Worksheet'!D77</f>
        <v>Total Intergovernmental revenue 
Include restricted and unrestricted revenues</v>
      </c>
      <c r="D69" s="142"/>
      <c r="E69" s="361">
        <f>'Unit Data from Audit Worksheet'!F77</f>
        <v>0</v>
      </c>
      <c r="F69" s="354"/>
      <c r="G69" s="356"/>
      <c r="H69" s="353">
        <f>'Unit Data from Audit Worksheet'!I77</f>
        <v>0</v>
      </c>
      <c r="I69" s="38"/>
      <c r="J69" s="352">
        <v>369</v>
      </c>
      <c r="K69" s="351" t="s">
        <v>205</v>
      </c>
      <c r="L69" s="589">
        <f t="shared" si="9"/>
        <v>0</v>
      </c>
      <c r="P69" s="323"/>
      <c r="W69" s="3" t="b">
        <f t="shared" ref="W69:W132" si="10">EXACT(A69,J69)</f>
        <v>1</v>
      </c>
      <c r="X69" s="586">
        <f t="shared" si="1"/>
        <v>0</v>
      </c>
      <c r="Y69" s="586">
        <f t="shared" si="2"/>
        <v>0</v>
      </c>
    </row>
    <row r="70" spans="1:27" ht="73.5" customHeight="1" x14ac:dyDescent="0.25">
      <c r="A70" s="341">
        <f>'Unit Data from Audit Worksheet'!A78</f>
        <v>16</v>
      </c>
      <c r="B70" s="355" t="str">
        <f>'Unit Data from Audit Worksheet'!C78</f>
        <v>General Fund-Rev, Exp. Change in Fund Balance</v>
      </c>
      <c r="C70" s="340" t="str">
        <f>'Unit Data from Audit Worksheet'!D78</f>
        <v>Total revenues</v>
      </c>
      <c r="D70" s="142"/>
      <c r="E70" s="361">
        <f>'Unit Data from Audit Worksheet'!F78</f>
        <v>0</v>
      </c>
      <c r="F70" s="354"/>
      <c r="G70" s="356"/>
      <c r="H70" s="353">
        <f>'Unit Data from Audit Worksheet'!I78</f>
        <v>0</v>
      </c>
      <c r="I70" s="38"/>
      <c r="J70" s="352">
        <v>16</v>
      </c>
      <c r="K70" s="351" t="s">
        <v>206</v>
      </c>
      <c r="L70" s="589">
        <f t="shared" si="9"/>
        <v>0</v>
      </c>
      <c r="P70" s="323"/>
      <c r="W70" s="3" t="b">
        <f t="shared" si="10"/>
        <v>1</v>
      </c>
      <c r="X70" s="586">
        <f t="shared" si="1"/>
        <v>0</v>
      </c>
      <c r="Y70" s="586">
        <f t="shared" si="2"/>
        <v>0</v>
      </c>
    </row>
    <row r="71" spans="1:27" ht="73.5" customHeight="1" x14ac:dyDescent="0.25">
      <c r="A71" s="341">
        <f>'Unit Data from Audit Worksheet'!A79</f>
        <v>370</v>
      </c>
      <c r="B71" s="355" t="str">
        <f>'Unit Data from Audit Worksheet'!C79</f>
        <v>General Fund-Rev, Exp. Change in Fund Balance</v>
      </c>
      <c r="C71" s="340" t="str">
        <f>'Unit Data from Audit Worksheet'!D79</f>
        <v>Debt service expenditures. 
Include principal, interest paid, and bond/debt issuance costs on long-term debt</v>
      </c>
      <c r="D71" s="142"/>
      <c r="E71" s="361">
        <f>'Unit Data from Audit Worksheet'!F79</f>
        <v>0</v>
      </c>
      <c r="F71" s="354">
        <f t="shared" ref="F71:F77" si="11">IF(L71&lt;0,"Error: Enter as a positive.",)</f>
        <v>0</v>
      </c>
      <c r="G71" s="356"/>
      <c r="H71" s="353">
        <f>'Unit Data from Audit Worksheet'!I79</f>
        <v>0</v>
      </c>
      <c r="I71" s="38"/>
      <c r="J71" s="352">
        <v>370</v>
      </c>
      <c r="K71" s="351" t="s">
        <v>207</v>
      </c>
      <c r="L71" s="589">
        <f t="shared" si="9"/>
        <v>0</v>
      </c>
      <c r="P71" s="323"/>
      <c r="W71" s="3" t="b">
        <f t="shared" si="10"/>
        <v>1</v>
      </c>
      <c r="X71" s="586">
        <f t="shared" si="1"/>
        <v>0</v>
      </c>
      <c r="Y71" s="586">
        <f t="shared" si="2"/>
        <v>0</v>
      </c>
    </row>
    <row r="72" spans="1:27" ht="73.5" customHeight="1" x14ac:dyDescent="0.25">
      <c r="A72" s="341">
        <f>'Unit Data from Audit Worksheet'!A80</f>
        <v>532</v>
      </c>
      <c r="B72" s="355" t="str">
        <f>'Unit Data from Audit Worksheet'!C80</f>
        <v>General Fund-Rev, Exp. Change in Fund Balance</v>
      </c>
      <c r="C72" s="340" t="str">
        <f>'Unit Data from Audit Worksheet'!D80</f>
        <v xml:space="preserve">Total expenditures  
Exclude expenditures in the "other financing sources (uses)" section.
</v>
      </c>
      <c r="D72" s="142"/>
      <c r="E72" s="361">
        <f>'Unit Data from Audit Worksheet'!F80</f>
        <v>0</v>
      </c>
      <c r="F72" s="354">
        <f t="shared" si="11"/>
        <v>0</v>
      </c>
      <c r="G72" s="356"/>
      <c r="H72" s="353">
        <f>'Unit Data from Audit Worksheet'!I80</f>
        <v>0</v>
      </c>
      <c r="I72" s="38"/>
      <c r="J72" s="352">
        <v>532</v>
      </c>
      <c r="K72" s="608" t="s">
        <v>208</v>
      </c>
      <c r="L72" s="589">
        <f t="shared" si="9"/>
        <v>0</v>
      </c>
      <c r="P72" s="323"/>
      <c r="W72" s="3" t="b">
        <f t="shared" si="10"/>
        <v>1</v>
      </c>
      <c r="X72" s="586">
        <f t="shared" si="1"/>
        <v>0</v>
      </c>
      <c r="Y72" s="586">
        <f t="shared" si="2"/>
        <v>0</v>
      </c>
    </row>
    <row r="73" spans="1:27" ht="73.5" customHeight="1" x14ac:dyDescent="0.25">
      <c r="A73" s="341">
        <f>'Unit Data from Audit Worksheet'!A81</f>
        <v>17</v>
      </c>
      <c r="B73" s="355" t="str">
        <f>'Unit Data from Audit Worksheet'!C81</f>
        <v>General Fund-Rev, Exp. Change in Fund Balance</v>
      </c>
      <c r="C73" s="340" t="str">
        <f>'Unit Data from Audit Worksheet'!D81</f>
        <v>Total Transfers in    (Preference is that transfers-in  are not netted against transfers-out)</v>
      </c>
      <c r="D73" s="142"/>
      <c r="E73" s="361">
        <f>'Unit Data from Audit Worksheet'!F81</f>
        <v>0</v>
      </c>
      <c r="F73" s="354">
        <f t="shared" si="11"/>
        <v>0</v>
      </c>
      <c r="G73" s="356"/>
      <c r="H73" s="353">
        <f>'Unit Data from Audit Worksheet'!I81</f>
        <v>0</v>
      </c>
      <c r="I73" s="38"/>
      <c r="J73" s="352">
        <v>17</v>
      </c>
      <c r="K73" s="351" t="s">
        <v>209</v>
      </c>
      <c r="L73" s="589">
        <f t="shared" si="9"/>
        <v>0</v>
      </c>
      <c r="P73" s="323"/>
      <c r="W73" s="3" t="b">
        <f t="shared" si="10"/>
        <v>1</v>
      </c>
      <c r="X73" s="586">
        <f t="shared" si="1"/>
        <v>0</v>
      </c>
      <c r="Y73" s="586">
        <f t="shared" si="2"/>
        <v>0</v>
      </c>
    </row>
    <row r="74" spans="1:27" ht="54.75" customHeight="1" x14ac:dyDescent="0.25">
      <c r="A74" s="341">
        <f>'Unit Data from Audit Worksheet'!A82</f>
        <v>20</v>
      </c>
      <c r="B74" s="355" t="str">
        <f>'Unit Data from Audit Worksheet'!C82</f>
        <v>General Fund-Rev, Exp. Change in Fund Balance</v>
      </c>
      <c r="C74" s="340" t="str">
        <f>'Unit Data from Audit Worksheet'!D82</f>
        <v>Total Transfers out    (Preference is that transfers-in  are not netted against transfers-out)</v>
      </c>
      <c r="D74" s="142"/>
      <c r="E74" s="361">
        <f>'Unit Data from Audit Worksheet'!F82</f>
        <v>0</v>
      </c>
      <c r="F74" s="354">
        <f t="shared" si="11"/>
        <v>0</v>
      </c>
      <c r="G74" s="356"/>
      <c r="H74" s="353">
        <f>'Unit Data from Audit Worksheet'!I82</f>
        <v>0</v>
      </c>
      <c r="I74" s="38"/>
      <c r="J74" s="352">
        <v>20</v>
      </c>
      <c r="K74" s="351" t="s">
        <v>210</v>
      </c>
      <c r="L74" s="589">
        <f t="shared" si="9"/>
        <v>0</v>
      </c>
      <c r="P74" s="323"/>
      <c r="W74" s="3" t="b">
        <f t="shared" si="10"/>
        <v>1</v>
      </c>
      <c r="X74" s="586">
        <f t="shared" si="1"/>
        <v>0</v>
      </c>
      <c r="Y74" s="586">
        <f t="shared" si="2"/>
        <v>0</v>
      </c>
    </row>
    <row r="75" spans="1:27" ht="54.75" customHeight="1" x14ac:dyDescent="0.25">
      <c r="A75" s="341">
        <f>'Unit Data from Audit Worksheet'!A83</f>
        <v>533</v>
      </c>
      <c r="B75" s="355" t="str">
        <f>'Unit Data from Audit Worksheet'!C83</f>
        <v>General Fund-Rev, Exp. Change in Fund Balance</v>
      </c>
      <c r="C75" s="340" t="str">
        <f>'Unit Data from Audit Worksheet'!D83</f>
        <v>Total Proceeds from all long-term debt issuances 
Exclude proceeds from refundings</v>
      </c>
      <c r="D75" s="142"/>
      <c r="E75" s="361">
        <f>'Unit Data from Audit Worksheet'!F83</f>
        <v>0</v>
      </c>
      <c r="F75" s="354">
        <f t="shared" si="11"/>
        <v>0</v>
      </c>
      <c r="G75" s="356"/>
      <c r="H75" s="353">
        <f>'Unit Data from Audit Worksheet'!I83</f>
        <v>0</v>
      </c>
      <c r="I75" s="38"/>
      <c r="J75" s="352">
        <v>533</v>
      </c>
      <c r="K75" s="608" t="s">
        <v>211</v>
      </c>
      <c r="L75" s="589">
        <f t="shared" si="9"/>
        <v>0</v>
      </c>
      <c r="P75" s="323"/>
      <c r="W75" s="3" t="b">
        <f t="shared" si="10"/>
        <v>1</v>
      </c>
      <c r="X75" s="586">
        <f t="shared" si="1"/>
        <v>0</v>
      </c>
      <c r="Y75" s="586">
        <f t="shared" si="2"/>
        <v>0</v>
      </c>
    </row>
    <row r="76" spans="1:27" ht="54.75" customHeight="1" x14ac:dyDescent="0.25">
      <c r="A76" s="341">
        <f>'Unit Data from Audit Worksheet'!A84</f>
        <v>508</v>
      </c>
      <c r="B76" s="355" t="str">
        <f>'Unit Data from Audit Worksheet'!C84</f>
        <v>General Fund-Rev, Exp. Change in Fund Balance</v>
      </c>
      <c r="C76" s="340" t="str">
        <f>'Unit Data from Audit Worksheet'!D84</f>
        <v>Debt Refunding - Net refunding proceeds against debt payoff and if positive place results on this line.</v>
      </c>
      <c r="D76" s="142"/>
      <c r="E76" s="361">
        <f>'Unit Data from Audit Worksheet'!F84</f>
        <v>0</v>
      </c>
      <c r="F76" s="354">
        <f t="shared" si="11"/>
        <v>0</v>
      </c>
      <c r="G76" s="356"/>
      <c r="H76" s="353">
        <f>'Unit Data from Audit Worksheet'!I84</f>
        <v>0</v>
      </c>
      <c r="I76" s="38"/>
      <c r="J76" s="352">
        <v>508</v>
      </c>
      <c r="K76" s="351" t="s">
        <v>213</v>
      </c>
      <c r="L76" s="589">
        <f t="shared" si="9"/>
        <v>0</v>
      </c>
      <c r="P76" s="323"/>
      <c r="W76" s="3" t="b">
        <f t="shared" si="10"/>
        <v>1</v>
      </c>
      <c r="X76" s="586">
        <f t="shared" si="1"/>
        <v>0</v>
      </c>
      <c r="Y76" s="586">
        <f t="shared" si="2"/>
        <v>0</v>
      </c>
    </row>
    <row r="77" spans="1:27" ht="54.75" customHeight="1" x14ac:dyDescent="0.25">
      <c r="A77" s="341">
        <f>'Unit Data from Audit Worksheet'!A85</f>
        <v>509</v>
      </c>
      <c r="B77" s="355" t="str">
        <f>'Unit Data from Audit Worksheet'!C85</f>
        <v>General Fund-Rev, Exp. Change in Fund Balance</v>
      </c>
      <c r="C77" s="340" t="str">
        <f>'Unit Data from Audit Worksheet'!D85</f>
        <v>Debt Refunding - Net refunding proceeds against debt payoff and if negative place results on this line.</v>
      </c>
      <c r="D77" s="142"/>
      <c r="E77" s="361">
        <f>'Unit Data from Audit Worksheet'!F85</f>
        <v>0</v>
      </c>
      <c r="F77" s="354">
        <f t="shared" si="11"/>
        <v>0</v>
      </c>
      <c r="G77" s="356"/>
      <c r="H77" s="353">
        <f>'Unit Data from Audit Worksheet'!I85</f>
        <v>0</v>
      </c>
      <c r="I77" s="38"/>
      <c r="J77" s="352">
        <v>509</v>
      </c>
      <c r="K77" s="351" t="s">
        <v>214</v>
      </c>
      <c r="L77" s="589">
        <f t="shared" si="9"/>
        <v>0</v>
      </c>
      <c r="P77" s="323"/>
      <c r="W77" s="3" t="b">
        <f t="shared" si="10"/>
        <v>1</v>
      </c>
      <c r="X77" s="586">
        <f t="shared" si="1"/>
        <v>0</v>
      </c>
      <c r="Y77" s="586">
        <f t="shared" si="2"/>
        <v>0</v>
      </c>
    </row>
    <row r="78" spans="1:27" ht="84.75" customHeight="1" x14ac:dyDescent="0.25">
      <c r="A78" s="341">
        <f>'Unit Data from Audit Worksheet'!A86</f>
        <v>22</v>
      </c>
      <c r="B78" s="355" t="str">
        <f>'Unit Data from Audit Worksheet'!C86</f>
        <v>General Fund-Rev, Exp. Change in Fund Balance</v>
      </c>
      <c r="C78" s="340" t="str">
        <f>'Unit Data from Audit Worksheet'!D86</f>
        <v xml:space="preserve">All other items on this statement that were not included in total revenues, total expenditures, transfers in or out, or proceeds from long-term debt above.  </v>
      </c>
      <c r="D78" s="142"/>
      <c r="E78" s="361">
        <f>'Unit Data from Audit Worksheet'!F86</f>
        <v>0</v>
      </c>
      <c r="F78" s="354"/>
      <c r="G78" s="356"/>
      <c r="H78" s="353">
        <f>'Unit Data from Audit Worksheet'!I86</f>
        <v>0</v>
      </c>
      <c r="I78" s="38"/>
      <c r="J78" s="352">
        <v>22</v>
      </c>
      <c r="K78" s="351" t="s">
        <v>212</v>
      </c>
      <c r="L78" s="589">
        <f t="shared" si="9"/>
        <v>0</v>
      </c>
      <c r="P78" s="323"/>
      <c r="W78" s="3" t="b">
        <f t="shared" si="10"/>
        <v>1</v>
      </c>
      <c r="X78" s="586">
        <f t="shared" si="1"/>
        <v>0</v>
      </c>
      <c r="Y78" s="586">
        <f t="shared" si="2"/>
        <v>0</v>
      </c>
    </row>
    <row r="79" spans="1:27" ht="74.25" customHeight="1" x14ac:dyDescent="0.25">
      <c r="A79" s="341">
        <f>'Unit Data from Audit Worksheet'!A87</f>
        <v>23</v>
      </c>
      <c r="B79" s="355" t="str">
        <f>'Unit Data from Audit Worksheet'!C87</f>
        <v>General Fund-Rev, Exp. Change in Fund Balance</v>
      </c>
      <c r="C79" s="340" t="str">
        <f>'Unit Data from Audit Worksheet'!D87</f>
        <v>Change in fund balance - (Increase in Fund balance is recorded as a positive and a decrease in fund balance is recorded as a negative)</v>
      </c>
      <c r="D79" s="142"/>
      <c r="E79" s="361">
        <f>'Unit Data from Audit Worksheet'!F87</f>
        <v>0</v>
      </c>
      <c r="F79" s="354">
        <f>IF(+L70-L72+L73-L74+L75+L76-L77+L78-L79=0,,"Error:Total revenues less toal Expenditures do not equal change in fund balance")</f>
        <v>0</v>
      </c>
      <c r="G79" s="91">
        <f>+L70-L72+L73-L74+L75+L78+L76-L77-L79</f>
        <v>0</v>
      </c>
      <c r="H79" s="353">
        <f>'Unit Data from Audit Worksheet'!I87</f>
        <v>0</v>
      </c>
      <c r="I79" s="38"/>
      <c r="J79" s="352">
        <v>23</v>
      </c>
      <c r="K79" s="351" t="s">
        <v>215</v>
      </c>
      <c r="L79" s="589">
        <f t="shared" si="9"/>
        <v>0</v>
      </c>
      <c r="P79" s="323"/>
      <c r="Q79" s="579">
        <f>IF(G79&lt;&gt;0,1,0)</f>
        <v>0</v>
      </c>
      <c r="W79" s="3" t="b">
        <f t="shared" si="10"/>
        <v>1</v>
      </c>
      <c r="X79" s="586">
        <f t="shared" si="1"/>
        <v>0</v>
      </c>
      <c r="Y79" s="586">
        <f t="shared" si="2"/>
        <v>0</v>
      </c>
    </row>
    <row r="80" spans="1:27" ht="123" customHeight="1" x14ac:dyDescent="0.25">
      <c r="A80" s="601">
        <f>'Unit Data from Audit Worksheet'!A89</f>
        <v>507</v>
      </c>
      <c r="B80" s="117" t="str">
        <f>'Unit Data from Audit Worksheet'!C89</f>
        <v>General Fund-Rev, Exp. Change in Fund Balance</v>
      </c>
      <c r="C80" s="333"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3">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216</v>
      </c>
      <c r="L80" s="589">
        <f t="shared" si="9"/>
        <v>0</v>
      </c>
      <c r="N80" s="598"/>
      <c r="O80" s="597"/>
      <c r="P80" s="324"/>
      <c r="Q80" s="579" t="e">
        <f>IF(G80&lt;&gt;0,1,0)</f>
        <v>#N/A</v>
      </c>
      <c r="W80" s="3" t="b">
        <f t="shared" si="10"/>
        <v>1</v>
      </c>
      <c r="X80" s="586">
        <f t="shared" si="1"/>
        <v>0</v>
      </c>
      <c r="Y80" s="586">
        <f t="shared" si="2"/>
        <v>0</v>
      </c>
    </row>
    <row r="81" spans="1:26" ht="123" customHeight="1" x14ac:dyDescent="0.25">
      <c r="A81" s="601">
        <f>'Unit Data from Audit Worksheet'!A90</f>
        <v>147</v>
      </c>
      <c r="B81" s="117" t="str">
        <f>'Unit Data from Audit Worksheet'!C90</f>
        <v>General Fund-Rev, Exp. Change in Fund Balance or General Fund Budget Actual</v>
      </c>
      <c r="C81" s="333"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4"/>
      <c r="E81" s="153">
        <f>'Unit Data from Audit Worksheet'!F90</f>
        <v>0</v>
      </c>
      <c r="F81" s="357"/>
      <c r="G81" s="365"/>
      <c r="H81" s="357"/>
      <c r="I81" s="38"/>
      <c r="J81" s="366">
        <v>147</v>
      </c>
      <c r="K81" s="358" t="s">
        <v>307</v>
      </c>
      <c r="L81" s="589">
        <f t="shared" si="9"/>
        <v>0</v>
      </c>
      <c r="N81" s="598"/>
      <c r="O81" s="597"/>
      <c r="P81" s="332"/>
      <c r="W81" s="3" t="b">
        <f t="shared" si="10"/>
        <v>1</v>
      </c>
      <c r="X81" s="586"/>
      <c r="Y81" s="586"/>
    </row>
    <row r="82" spans="1:26" ht="123" customHeight="1" x14ac:dyDescent="0.25">
      <c r="A82" s="601">
        <f>'Unit Data from Audit Worksheet'!A91</f>
        <v>585</v>
      </c>
      <c r="B82" s="117" t="str">
        <f>'Unit Data from Audit Worksheet'!C91</f>
        <v>General Fund-Rev, Exp. Change in Fund Balance or General Fund Budget Actual</v>
      </c>
      <c r="C82" s="591" t="str">
        <f>'Unit Data from Audit Worksheet'!D91</f>
        <v xml:space="preserve">How much of the above number in account 147 is from Timber Receipts sent to the schools </v>
      </c>
      <c r="D82" s="364"/>
      <c r="E82" s="153">
        <f>'Unit Data from Audit Worksheet'!F91</f>
        <v>0</v>
      </c>
      <c r="F82" s="357"/>
      <c r="G82" s="365"/>
      <c r="H82" s="357"/>
      <c r="I82" s="38"/>
      <c r="J82" s="366">
        <v>585</v>
      </c>
      <c r="K82" s="369" t="s">
        <v>405</v>
      </c>
      <c r="L82" s="589">
        <f t="shared" si="9"/>
        <v>0</v>
      </c>
      <c r="N82" s="598"/>
      <c r="O82" s="597"/>
      <c r="P82" s="332"/>
      <c r="W82" s="3" t="b">
        <f t="shared" si="10"/>
        <v>1</v>
      </c>
      <c r="X82" s="586"/>
      <c r="Y82" s="586"/>
    </row>
    <row r="83" spans="1:26" ht="123" customHeight="1" x14ac:dyDescent="0.25">
      <c r="A83" s="601">
        <f>'Unit Data from Audit Worksheet'!A92</f>
        <v>546</v>
      </c>
      <c r="B83" s="117" t="str">
        <f>'Unit Data from Audit Worksheet'!C92</f>
        <v>General Fund-Rev, Exp. Change in Fund Balance or General Fund Budget Actual</v>
      </c>
      <c r="C83" s="591" t="str">
        <f>'Unit Data from Audit Worksheet'!D92</f>
        <v>Amount of Supplemental School Tax revenue recorded in the governmental funds.</v>
      </c>
      <c r="D83" s="364"/>
      <c r="E83" s="153">
        <f>'Unit Data from Audit Worksheet'!F92</f>
        <v>0</v>
      </c>
      <c r="F83" s="357"/>
      <c r="G83" s="365"/>
      <c r="H83" s="357"/>
      <c r="I83" s="38"/>
      <c r="J83" s="366">
        <v>546</v>
      </c>
      <c r="K83" s="369" t="s">
        <v>578</v>
      </c>
      <c r="L83" s="589">
        <f t="shared" si="9"/>
        <v>0</v>
      </c>
      <c r="N83" s="598"/>
      <c r="O83" s="597"/>
      <c r="P83" s="332"/>
      <c r="W83" s="3" t="b">
        <f t="shared" si="10"/>
        <v>1</v>
      </c>
      <c r="X83" s="586"/>
      <c r="Y83" s="586"/>
    </row>
    <row r="84" spans="1:26" ht="123" customHeight="1" x14ac:dyDescent="0.25">
      <c r="A84" s="601">
        <f>'Unit Data from Audit Worksheet'!A93</f>
        <v>589</v>
      </c>
      <c r="B84" s="117" t="str">
        <f>'Unit Data from Audit Worksheet'!C93</f>
        <v>General Fund-Rev, Exp. Change in Fund Balance or General Fund Budget Actual</v>
      </c>
      <c r="C84" s="591" t="str">
        <f>'Unit Data from Audit Worksheet'!D93</f>
        <v>Amount of Supplemental School Tax revenue recorded in agency funds.</v>
      </c>
      <c r="D84" s="364"/>
      <c r="E84" s="153">
        <f>'Unit Data from Audit Worksheet'!F93</f>
        <v>0</v>
      </c>
      <c r="F84" s="357"/>
      <c r="G84" s="365"/>
      <c r="H84" s="357"/>
      <c r="I84" s="38"/>
      <c r="J84" s="366">
        <v>589</v>
      </c>
      <c r="K84" s="124" t="s">
        <v>1004</v>
      </c>
      <c r="L84" s="589">
        <f t="shared" si="9"/>
        <v>0</v>
      </c>
      <c r="N84" s="598"/>
      <c r="O84" s="597"/>
      <c r="P84" s="332"/>
      <c r="W84" s="3" t="b">
        <f t="shared" si="10"/>
        <v>1</v>
      </c>
      <c r="X84" s="586"/>
      <c r="Y84" s="586"/>
    </row>
    <row r="85" spans="1:26" ht="123" customHeight="1" x14ac:dyDescent="0.25">
      <c r="A85" s="601">
        <f>'Unit Data from Audit Worksheet'!A94</f>
        <v>149</v>
      </c>
      <c r="B85" s="117" t="str">
        <f>'Unit Data from Audit Worksheet'!C94</f>
        <v>General Fund-Rev, Exp. Change in Fund Balance or General Fund Budget Actual</v>
      </c>
      <c r="C85" s="591"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4"/>
      <c r="E85" s="153">
        <f>'Unit Data from Audit Worksheet'!F94</f>
        <v>0</v>
      </c>
      <c r="F85" s="357"/>
      <c r="G85" s="365"/>
      <c r="H85" s="357"/>
      <c r="I85" s="38"/>
      <c r="J85" s="366">
        <v>149</v>
      </c>
      <c r="K85" s="252" t="s">
        <v>309</v>
      </c>
      <c r="L85" s="589">
        <f t="shared" si="9"/>
        <v>0</v>
      </c>
      <c r="N85" s="598"/>
      <c r="O85" s="597"/>
      <c r="P85" s="332"/>
      <c r="W85" s="3" t="b">
        <f t="shared" si="10"/>
        <v>1</v>
      </c>
      <c r="X85" s="586"/>
      <c r="Y85" s="586"/>
      <c r="Z85" s="3" t="s">
        <v>1081</v>
      </c>
    </row>
    <row r="86" spans="1:26" ht="123" customHeight="1" x14ac:dyDescent="0.25">
      <c r="A86" s="601">
        <f>'Unit Data from Audit Worksheet'!A95</f>
        <v>150</v>
      </c>
      <c r="B86" s="117" t="str">
        <f>'Unit Data from Audit Worksheet'!C95</f>
        <v>General Fund-Rev, Exp. Change in Fund Balance or General Fund Budget Actual</v>
      </c>
      <c r="C86" s="591"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4"/>
      <c r="E86" s="153">
        <f>'Unit Data from Audit Worksheet'!F95</f>
        <v>0</v>
      </c>
      <c r="F86" s="357"/>
      <c r="G86" s="365"/>
      <c r="H86" s="357"/>
      <c r="I86" s="38"/>
      <c r="J86" s="366">
        <v>150</v>
      </c>
      <c r="K86" s="252" t="s">
        <v>578</v>
      </c>
      <c r="L86" s="589">
        <f t="shared" si="9"/>
        <v>0</v>
      </c>
      <c r="N86" s="598"/>
      <c r="O86" s="597"/>
      <c r="P86" s="332"/>
      <c r="W86" s="3" t="b">
        <f t="shared" si="10"/>
        <v>1</v>
      </c>
      <c r="X86" s="586"/>
      <c r="Y86" s="586"/>
      <c r="Z86" s="3" t="s">
        <v>1081</v>
      </c>
    </row>
    <row r="87" spans="1:26" ht="123" customHeight="1" x14ac:dyDescent="0.25">
      <c r="A87" s="601">
        <f>'Unit Data from Audit Worksheet'!A96</f>
        <v>587</v>
      </c>
      <c r="B87" s="117" t="str">
        <f>'Unit Data from Audit Worksheet'!C96</f>
        <v xml:space="preserve">Fund 8 Rev, Exp. Change in Fund Balance Rpt. </v>
      </c>
      <c r="C87" s="591" t="str">
        <f>'Unit Data from Audit Worksheet'!D96</f>
        <v>Amount of Local Current Expense Funds received from the County transferred to Fund 8 this year.</v>
      </c>
      <c r="D87" s="364"/>
      <c r="E87" s="153">
        <f>'Unit Data from Audit Worksheet'!F96</f>
        <v>0</v>
      </c>
      <c r="F87" s="357"/>
      <c r="G87" s="365"/>
      <c r="H87" s="357"/>
      <c r="I87" s="38"/>
      <c r="J87" s="366">
        <v>587</v>
      </c>
      <c r="K87" s="252" t="s">
        <v>407</v>
      </c>
      <c r="L87" s="589">
        <f t="shared" si="9"/>
        <v>0</v>
      </c>
      <c r="N87" s="598"/>
      <c r="O87" s="597"/>
      <c r="P87" s="332"/>
      <c r="W87" s="3" t="b">
        <f t="shared" si="10"/>
        <v>1</v>
      </c>
      <c r="X87" s="586"/>
      <c r="Y87" s="586"/>
      <c r="Z87" s="3" t="s">
        <v>1081</v>
      </c>
    </row>
    <row r="88" spans="1:26" ht="123" customHeight="1" x14ac:dyDescent="0.25">
      <c r="A88" s="601">
        <f>'Unit Data from Audit Worksheet'!A97</f>
        <v>588</v>
      </c>
      <c r="B88" s="117" t="str">
        <f>'Unit Data from Audit Worksheet'!C97</f>
        <v xml:space="preserve">Fund 8 Rev, Exp. Change in Fund Balance Rpt. </v>
      </c>
      <c r="C88" s="591" t="str">
        <f>'Unit Data from Audit Worksheet'!D97</f>
        <v>Amount of Capital Outlay Funds received from the County transferred to Fund 8 this year.</v>
      </c>
      <c r="D88" s="364"/>
      <c r="E88" s="153">
        <f>'Unit Data from Audit Worksheet'!F97</f>
        <v>0</v>
      </c>
      <c r="F88" s="357"/>
      <c r="G88" s="365"/>
      <c r="H88" s="357"/>
      <c r="I88" s="38"/>
      <c r="J88" s="366">
        <v>588</v>
      </c>
      <c r="K88" s="252" t="s">
        <v>408</v>
      </c>
      <c r="L88" s="589">
        <f t="shared" si="9"/>
        <v>0</v>
      </c>
      <c r="N88" s="598"/>
      <c r="O88" s="597"/>
      <c r="P88" s="332"/>
      <c r="W88" s="3" t="b">
        <f t="shared" si="10"/>
        <v>1</v>
      </c>
      <c r="X88" s="586"/>
      <c r="Y88" s="586"/>
      <c r="Z88" s="3" t="s">
        <v>1081</v>
      </c>
    </row>
    <row r="89" spans="1:26" s="18" customFormat="1" ht="40.5" customHeight="1" x14ac:dyDescent="0.25">
      <c r="A89" s="312">
        <f>'Unit Data from Audit Worksheet'!A98</f>
        <v>647</v>
      </c>
      <c r="B89" s="368" t="str">
        <f>'Unit Data from Audit Worksheet'!C98</f>
        <v>Debt Service Fund</v>
      </c>
      <c r="C89" s="312" t="str">
        <f>'Unit Data from Audit Worksheet'!D98</f>
        <v>Please enter the Total Fund Balance for any Debt Service Funds</v>
      </c>
      <c r="D89" s="116"/>
      <c r="E89" s="367">
        <f>'Unit Data from Audit Worksheet'!F98</f>
        <v>0</v>
      </c>
      <c r="F89" s="349"/>
      <c r="G89" s="344"/>
      <c r="H89" s="349">
        <f>'Unit Data from Audit Worksheet'!I98</f>
        <v>0</v>
      </c>
      <c r="I89" s="602"/>
      <c r="J89" s="348">
        <v>647</v>
      </c>
      <c r="K89" s="315" t="s">
        <v>1294</v>
      </c>
      <c r="L89" s="603">
        <f>IF(D89="",E89,D89)</f>
        <v>0</v>
      </c>
      <c r="M89" s="593"/>
      <c r="N89" s="593"/>
      <c r="O89" s="609"/>
      <c r="P89" s="325"/>
      <c r="Q89" s="594"/>
      <c r="R89" s="3"/>
      <c r="S89" s="593"/>
      <c r="T89" s="593"/>
      <c r="U89" s="593"/>
      <c r="V89" s="593"/>
      <c r="W89" s="18" t="b">
        <f t="shared" si="10"/>
        <v>1</v>
      </c>
      <c r="X89" s="595">
        <f t="shared" si="1"/>
        <v>0</v>
      </c>
      <c r="Y89" s="595">
        <f t="shared" si="2"/>
        <v>0</v>
      </c>
    </row>
    <row r="90" spans="1:26" s="18" customFormat="1" ht="66" customHeight="1" x14ac:dyDescent="0.25">
      <c r="A90" s="312">
        <f>'Unit Data from Audit Worksheet'!A100</f>
        <v>148</v>
      </c>
      <c r="B90" s="368" t="str">
        <f>'Unit Data from Audit Worksheet'!C100</f>
        <v>All Gov. Funds Rev, Exp. Change in Fund Balance</v>
      </c>
      <c r="C90" s="347" t="str">
        <f>'Unit Data from Audit Worksheet'!D100</f>
        <v>Capital Outlay contributions to the BOEs (include amounts from general fund, capital project funds and any other fund sent to the BOE as part of capital outlay)</v>
      </c>
      <c r="D90" s="364"/>
      <c r="E90" s="367">
        <f>'Unit Data from Audit Worksheet'!F100</f>
        <v>0</v>
      </c>
      <c r="F90" s="357"/>
      <c r="G90" s="365"/>
      <c r="H90" s="357"/>
      <c r="I90" s="38"/>
      <c r="J90" s="366">
        <v>148</v>
      </c>
      <c r="K90" s="358" t="s">
        <v>308</v>
      </c>
      <c r="L90" s="589">
        <f t="shared" si="9"/>
        <v>0</v>
      </c>
      <c r="M90" s="610"/>
      <c r="N90" s="610"/>
      <c r="O90" s="611"/>
      <c r="P90" s="332"/>
      <c r="Q90" s="612"/>
      <c r="R90" s="3"/>
      <c r="S90" s="610"/>
      <c r="T90" s="610"/>
      <c r="U90" s="610"/>
      <c r="V90" s="610"/>
      <c r="W90" s="610" t="b">
        <f t="shared" si="10"/>
        <v>1</v>
      </c>
      <c r="X90" s="595"/>
      <c r="Y90" s="595"/>
    </row>
    <row r="91" spans="1:26" ht="60" customHeight="1" x14ac:dyDescent="0.25">
      <c r="A91" s="587">
        <f>'Unit Data from Audit Worksheet'!A101</f>
        <v>171</v>
      </c>
      <c r="B91" s="54" t="str">
        <f>'Unit Data from Audit Worksheet'!C101</f>
        <v>Fund Statements - all Governmental Funds</v>
      </c>
      <c r="C91" s="588" t="str">
        <f>'Unit Data from Audit Worksheet'!D101</f>
        <v>Debt service expenditures from all governmental funds.  Include principal, interest paid, and debt issuance costs on long-term debt.</v>
      </c>
      <c r="D91" s="360"/>
      <c r="E91" s="150">
        <f>'Unit Data from Audit Worksheet'!F101</f>
        <v>0</v>
      </c>
      <c r="F91" s="47">
        <f>IF(L91&lt;0,"Error: Enter as a positive.",)</f>
        <v>0</v>
      </c>
      <c r="G91" s="72"/>
      <c r="H91" s="353">
        <f>'Unit Data from Audit Worksheet'!I101</f>
        <v>0</v>
      </c>
      <c r="I91" s="38"/>
      <c r="J91" s="42">
        <v>171</v>
      </c>
      <c r="K91" s="51" t="s">
        <v>217</v>
      </c>
      <c r="L91" s="589">
        <f t="shared" si="9"/>
        <v>0</v>
      </c>
      <c r="P91" s="322"/>
      <c r="W91" s="3" t="b">
        <f t="shared" si="10"/>
        <v>1</v>
      </c>
      <c r="X91" s="586">
        <f t="shared" si="1"/>
        <v>0</v>
      </c>
      <c r="Y91" s="586">
        <f t="shared" si="2"/>
        <v>0</v>
      </c>
    </row>
    <row r="92" spans="1:26" s="727" customFormat="1" ht="60" customHeight="1" x14ac:dyDescent="0.25">
      <c r="A92" s="587">
        <f>'Unit Data from Audit Worksheet'!A103</f>
        <v>36</v>
      </c>
      <c r="B92" s="54" t="str">
        <f>'Unit Data from Audit Worksheet'!C103</f>
        <v>Net Position</v>
      </c>
      <c r="C92" s="588" t="str">
        <f>'Unit Data from Audit Worksheet'!D103</f>
        <v>Total Gross Capital Assets - without accumulated depreciation</v>
      </c>
      <c r="D92" s="360"/>
      <c r="E92" s="150">
        <f>'Unit Data from Audit Worksheet'!F103</f>
        <v>0</v>
      </c>
      <c r="F92" s="47"/>
      <c r="G92" s="72"/>
      <c r="H92" s="353"/>
      <c r="I92" s="729"/>
      <c r="J92" s="42">
        <v>36</v>
      </c>
      <c r="K92" s="51" t="s">
        <v>1138</v>
      </c>
      <c r="L92" s="589">
        <f t="shared" si="9"/>
        <v>0</v>
      </c>
      <c r="P92" s="322"/>
      <c r="Q92" s="579"/>
      <c r="W92" s="610" t="b">
        <f t="shared" si="10"/>
        <v>1</v>
      </c>
      <c r="X92" s="586"/>
      <c r="Y92" s="586"/>
    </row>
    <row r="93" spans="1:26" s="727" customFormat="1" ht="60" customHeight="1" x14ac:dyDescent="0.25">
      <c r="A93" s="587">
        <f>'Unit Data from Audit Worksheet'!A104</f>
        <v>534</v>
      </c>
      <c r="B93" s="54" t="str">
        <f>'Unit Data from Audit Worksheet'!C104</f>
        <v>Net Position</v>
      </c>
      <c r="C93" s="588" t="str">
        <f>'Unit Data from Audit Worksheet'!D104</f>
        <v>Combined Totals of all Proprietary Funds - Amount of Inventories and Prepaids in current assets</v>
      </c>
      <c r="D93" s="360"/>
      <c r="E93" s="150">
        <f>'Unit Data from Audit Worksheet'!F104</f>
        <v>0</v>
      </c>
      <c r="F93" s="47"/>
      <c r="G93" s="72"/>
      <c r="H93" s="353"/>
      <c r="I93" s="729"/>
      <c r="J93" s="42">
        <v>534</v>
      </c>
      <c r="K93" s="51" t="s">
        <v>275</v>
      </c>
      <c r="L93" s="589">
        <f t="shared" si="9"/>
        <v>0</v>
      </c>
      <c r="P93" s="322"/>
      <c r="Q93" s="579"/>
      <c r="W93" s="610" t="b">
        <f t="shared" si="10"/>
        <v>1</v>
      </c>
      <c r="X93" s="586"/>
      <c r="Y93" s="586"/>
    </row>
    <row r="94" spans="1:26" ht="60" customHeight="1" x14ac:dyDescent="0.25">
      <c r="A94" s="587">
        <f>'Unit Data from Audit Worksheet'!A105</f>
        <v>13</v>
      </c>
      <c r="B94" s="54" t="str">
        <f>'Unit Data from Audit Worksheet'!C105</f>
        <v>Combined Proprietary Funds - Net Position</v>
      </c>
      <c r="C94" s="588" t="str">
        <f>'Unit Data from Audit Worksheet'!D105</f>
        <v>Comb-Proprietary Funds-Current Assets 
Exclude: any restricted assets
                  deferred outflows</v>
      </c>
      <c r="D94" s="360"/>
      <c r="E94" s="150">
        <f>'Unit Data from Audit Worksheet'!F105</f>
        <v>0</v>
      </c>
      <c r="F94" s="47"/>
      <c r="G94" s="72"/>
      <c r="H94" s="353"/>
      <c r="I94" s="38"/>
      <c r="J94" s="42">
        <v>13</v>
      </c>
      <c r="K94" s="51" t="s">
        <v>1071</v>
      </c>
      <c r="L94" s="589">
        <f t="shared" si="9"/>
        <v>0</v>
      </c>
      <c r="P94" s="322"/>
      <c r="X94" s="586"/>
      <c r="Y94" s="586"/>
    </row>
    <row r="95" spans="1:26" ht="60" customHeight="1" x14ac:dyDescent="0.25">
      <c r="A95" s="587">
        <f>'Unit Data from Audit Worksheet'!A106</f>
        <v>14</v>
      </c>
      <c r="B95" s="54" t="str">
        <f>'Unit Data from Audit Worksheet'!C106</f>
        <v>Combined Proprietary Funds - Net Position</v>
      </c>
      <c r="C95" s="588"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60"/>
      <c r="E95" s="150">
        <f>'Unit Data from Audit Worksheet'!F106</f>
        <v>0</v>
      </c>
      <c r="F95" s="47"/>
      <c r="G95" s="72"/>
      <c r="H95" s="353"/>
      <c r="I95" s="38"/>
      <c r="J95" s="42">
        <v>14</v>
      </c>
      <c r="K95" s="51" t="s">
        <v>1072</v>
      </c>
      <c r="L95" s="589">
        <f t="shared" si="9"/>
        <v>0</v>
      </c>
      <c r="P95" s="322"/>
      <c r="X95" s="586"/>
      <c r="Y95" s="586"/>
    </row>
    <row r="96" spans="1:26" s="727" customFormat="1" ht="60" customHeight="1" x14ac:dyDescent="0.25">
      <c r="A96" s="587">
        <f>'Unit Data from Audit Worksheet'!A107</f>
        <v>571</v>
      </c>
      <c r="B96" s="54" t="str">
        <f>'Unit Data from Audit Worksheet'!C107</f>
        <v>Statement of Net Position - combined totals from all Proprietary Funds</v>
      </c>
      <c r="C96" s="588" t="str">
        <f>'Unit Data from Audit Worksheet'!D107</f>
        <v>Mental Health Net Position - Net Investment in Capital Assets</v>
      </c>
      <c r="D96" s="360"/>
      <c r="E96" s="150">
        <f>'Unit Data from Audit Worksheet'!F107</f>
        <v>0</v>
      </c>
      <c r="F96" s="47"/>
      <c r="G96" s="72"/>
      <c r="H96" s="353"/>
      <c r="I96" s="729"/>
      <c r="J96" s="42">
        <v>571</v>
      </c>
      <c r="K96" s="51" t="s">
        <v>1109</v>
      </c>
      <c r="L96" s="589">
        <f t="shared" si="9"/>
        <v>0</v>
      </c>
      <c r="P96" s="322"/>
      <c r="Q96" s="579"/>
      <c r="X96" s="586"/>
      <c r="Y96" s="586"/>
    </row>
    <row r="97" spans="1:26" s="727" customFormat="1" ht="60" customHeight="1" x14ac:dyDescent="0.25">
      <c r="A97" s="587">
        <f>'Unit Data from Audit Worksheet'!A108</f>
        <v>572</v>
      </c>
      <c r="B97" s="54" t="str">
        <f>'Unit Data from Audit Worksheet'!C108</f>
        <v>Statement of Net Position - combined totals from all Proprietary Funds</v>
      </c>
      <c r="C97" s="588" t="str">
        <f>'Unit Data from Audit Worksheet'!D108</f>
        <v>Mental Health Net Position - Restricted Net Position</v>
      </c>
      <c r="D97" s="360"/>
      <c r="E97" s="150">
        <f>'Unit Data from Audit Worksheet'!F108</f>
        <v>0</v>
      </c>
      <c r="F97" s="47"/>
      <c r="G97" s="72"/>
      <c r="H97" s="353"/>
      <c r="I97" s="729"/>
      <c r="J97" s="42">
        <v>572</v>
      </c>
      <c r="K97" s="51" t="s">
        <v>1110</v>
      </c>
      <c r="L97" s="589">
        <f t="shared" si="9"/>
        <v>0</v>
      </c>
      <c r="P97" s="322"/>
      <c r="Q97" s="579"/>
      <c r="X97" s="586"/>
      <c r="Y97" s="586"/>
    </row>
    <row r="98" spans="1:26" s="727" customFormat="1" ht="60" customHeight="1" x14ac:dyDescent="0.25">
      <c r="A98" s="587">
        <f>'Unit Data from Audit Worksheet'!A109</f>
        <v>573</v>
      </c>
      <c r="B98" s="54" t="str">
        <f>'Unit Data from Audit Worksheet'!C109</f>
        <v>Statement of Net Position - combined totals from all Proprietary Funds</v>
      </c>
      <c r="C98" s="588" t="str">
        <f>'Unit Data from Audit Worksheet'!D109</f>
        <v>Mental Health Net Position - Unrestricted Net Position</v>
      </c>
      <c r="D98" s="360"/>
      <c r="E98" s="150">
        <f>'Unit Data from Audit Worksheet'!F109</f>
        <v>0</v>
      </c>
      <c r="F98" s="47"/>
      <c r="G98" s="72"/>
      <c r="H98" s="353"/>
      <c r="I98" s="729"/>
      <c r="J98" s="42">
        <v>573</v>
      </c>
      <c r="K98" s="51" t="s">
        <v>1268</v>
      </c>
      <c r="L98" s="589">
        <f t="shared" si="9"/>
        <v>0</v>
      </c>
      <c r="P98" s="322"/>
      <c r="Q98" s="579"/>
      <c r="X98" s="586"/>
      <c r="Y98" s="586"/>
    </row>
    <row r="99" spans="1:26" ht="60" customHeight="1" x14ac:dyDescent="0.25">
      <c r="A99" s="587">
        <f>'Unit Data from Audit Worksheet'!A110</f>
        <v>34</v>
      </c>
      <c r="B99" s="54" t="str">
        <f>'Unit Data from Audit Worksheet'!C110</f>
        <v>Net Position</v>
      </c>
      <c r="C99" s="588" t="str">
        <f>'Unit Data from Audit Worksheet'!D110</f>
        <v>Hospital-EF- Unrestricted Cash &amp; Invest. [Incl.all but Held by Trustee or 3rd party restricted](BS)</v>
      </c>
      <c r="D99" s="360"/>
      <c r="E99" s="150">
        <f>'Unit Data from Audit Worksheet'!F110</f>
        <v>0</v>
      </c>
      <c r="F99" s="47"/>
      <c r="G99" s="72"/>
      <c r="H99" s="353"/>
      <c r="I99" s="38"/>
      <c r="J99" s="42">
        <v>34</v>
      </c>
      <c r="K99" s="51" t="s">
        <v>1084</v>
      </c>
      <c r="L99" s="589">
        <f t="shared" si="9"/>
        <v>0</v>
      </c>
      <c r="P99" s="322"/>
      <c r="X99" s="586"/>
      <c r="Y99" s="586"/>
      <c r="Z99" s="3" t="s">
        <v>1082</v>
      </c>
    </row>
    <row r="100" spans="1:26" ht="60" customHeight="1" x14ac:dyDescent="0.25">
      <c r="A100" s="587">
        <f>'Unit Data from Audit Worksheet'!A111</f>
        <v>35</v>
      </c>
      <c r="B100" s="54" t="str">
        <f>'Unit Data from Audit Worksheet'!C111</f>
        <v>Net Position</v>
      </c>
      <c r="C100" s="588" t="str">
        <f>'Unit Data from Audit Worksheet'!D111</f>
        <v>Mental Health or Hospital-EF- Patient Accounts Receivable, Net of Allowance for Bad Debt</v>
      </c>
      <c r="D100" s="360"/>
      <c r="E100" s="150">
        <f>'Unit Data from Audit Worksheet'!F111</f>
        <v>0</v>
      </c>
      <c r="F100" s="47"/>
      <c r="G100" s="72"/>
      <c r="H100" s="353"/>
      <c r="I100" s="38"/>
      <c r="J100" s="42">
        <v>35</v>
      </c>
      <c r="K100" s="51" t="s">
        <v>1085</v>
      </c>
      <c r="L100" s="589">
        <f t="shared" si="9"/>
        <v>0</v>
      </c>
      <c r="P100" s="322"/>
      <c r="X100" s="586"/>
      <c r="Y100" s="586"/>
      <c r="Z100" s="3" t="s">
        <v>1082</v>
      </c>
    </row>
    <row r="101" spans="1:26" ht="60" customHeight="1" x14ac:dyDescent="0.25">
      <c r="A101" s="587">
        <f>'Unit Data from Audit Worksheet'!A112</f>
        <v>37</v>
      </c>
      <c r="B101" s="54" t="str">
        <f>'Unit Data from Audit Worksheet'!C112</f>
        <v>Net Position</v>
      </c>
      <c r="C101" s="588" t="str">
        <f>'Unit Data from Audit Worksheet'!D112</f>
        <v>Total Long-term debt (non current portion only) - enter as a positive</v>
      </c>
      <c r="D101" s="360"/>
      <c r="E101" s="150">
        <f>'Unit Data from Audit Worksheet'!F112</f>
        <v>0</v>
      </c>
      <c r="F101" s="47"/>
      <c r="G101" s="72"/>
      <c r="H101" s="353"/>
      <c r="I101" s="38"/>
      <c r="J101" s="42">
        <v>37</v>
      </c>
      <c r="K101" s="51" t="s">
        <v>1095</v>
      </c>
      <c r="L101" s="589">
        <f t="shared" si="9"/>
        <v>0</v>
      </c>
      <c r="P101" s="322"/>
      <c r="X101" s="586"/>
      <c r="Y101" s="586"/>
      <c r="Z101" s="3" t="s">
        <v>1082</v>
      </c>
    </row>
    <row r="102" spans="1:26" ht="60" customHeight="1" x14ac:dyDescent="0.25">
      <c r="A102" s="587">
        <f>'Unit Data from Audit Worksheet'!A113</f>
        <v>38</v>
      </c>
      <c r="B102" s="54" t="str">
        <f>'Unit Data from Audit Worksheet'!C113</f>
        <v>Net Position</v>
      </c>
      <c r="C102" s="588" t="str">
        <f>'Unit Data from Audit Worksheet'!D113</f>
        <v>Unrestricted fund equity or net position</v>
      </c>
      <c r="D102" s="360"/>
      <c r="E102" s="150">
        <f>'Unit Data from Audit Worksheet'!F113</f>
        <v>0</v>
      </c>
      <c r="F102" s="47"/>
      <c r="G102" s="72"/>
      <c r="H102" s="353"/>
      <c r="I102" s="38"/>
      <c r="J102" s="42">
        <v>38</v>
      </c>
      <c r="K102" s="51" t="s">
        <v>1086</v>
      </c>
      <c r="L102" s="589">
        <f t="shared" si="9"/>
        <v>0</v>
      </c>
      <c r="P102" s="322"/>
      <c r="X102" s="586"/>
      <c r="Y102" s="586"/>
      <c r="Z102" s="3" t="s">
        <v>1082</v>
      </c>
    </row>
    <row r="103" spans="1:26" ht="60" customHeight="1" x14ac:dyDescent="0.25">
      <c r="A103" s="587">
        <f>'Unit Data from Audit Worksheet'!A114</f>
        <v>32</v>
      </c>
      <c r="B103" s="54" t="str">
        <f>'Unit Data from Audit Worksheet'!C114</f>
        <v>Combined Totals of all Proprietary Funds - Revenue, Expenses, Changes in Net Position</v>
      </c>
      <c r="C103" s="588" t="str">
        <f>'Unit Data from Audit Worksheet'!D114</f>
        <v>Combined Totals of all proprietary Funds - Depreciation &amp; Amortization Expense</v>
      </c>
      <c r="D103" s="360"/>
      <c r="E103" s="150">
        <f>'Unit Data from Audit Worksheet'!F114</f>
        <v>0</v>
      </c>
      <c r="F103" s="47"/>
      <c r="G103" s="72"/>
      <c r="H103" s="353"/>
      <c r="I103" s="38"/>
      <c r="J103" s="42">
        <v>32</v>
      </c>
      <c r="K103" s="51" t="s">
        <v>1074</v>
      </c>
      <c r="L103" s="589">
        <f t="shared" si="9"/>
        <v>0</v>
      </c>
      <c r="P103" s="322"/>
      <c r="X103" s="586"/>
      <c r="Y103" s="586"/>
      <c r="Z103" s="3" t="s">
        <v>1082</v>
      </c>
    </row>
    <row r="104" spans="1:26" ht="60" customHeight="1" x14ac:dyDescent="0.25">
      <c r="A104" s="587">
        <f>'Unit Data from Audit Worksheet'!A115</f>
        <v>40</v>
      </c>
      <c r="B104" s="54" t="str">
        <f>'Unit Data from Audit Worksheet'!C115</f>
        <v>Revenue, Expenses, Changes in Net Position</v>
      </c>
      <c r="C104" s="588" t="str">
        <f>'Unit Data from Audit Worksheet'!D115</f>
        <v>Net Patient Revenues</v>
      </c>
      <c r="D104" s="360"/>
      <c r="E104" s="150">
        <f>'Unit Data from Audit Worksheet'!F115</f>
        <v>0</v>
      </c>
      <c r="F104" s="47"/>
      <c r="G104" s="72"/>
      <c r="H104" s="353"/>
      <c r="I104" s="38"/>
      <c r="J104" s="42">
        <v>40</v>
      </c>
      <c r="K104" s="51" t="s">
        <v>1088</v>
      </c>
      <c r="L104" s="589">
        <f t="shared" si="9"/>
        <v>0</v>
      </c>
      <c r="P104" s="322"/>
      <c r="X104" s="586"/>
      <c r="Y104" s="586"/>
      <c r="Z104" s="3" t="s">
        <v>1082</v>
      </c>
    </row>
    <row r="105" spans="1:26" ht="60" customHeight="1" x14ac:dyDescent="0.25">
      <c r="A105" s="587">
        <f>'Unit Data from Audit Worksheet'!A116</f>
        <v>107</v>
      </c>
      <c r="B105" s="54" t="str">
        <f>'Unit Data from Audit Worksheet'!C116</f>
        <v>Revenue, Expenses, Changes in Net Position</v>
      </c>
      <c r="C105" s="588" t="str">
        <f>'Unit Data from Audit Worksheet'!D116</f>
        <v>Total Operating Revenues</v>
      </c>
      <c r="D105" s="360"/>
      <c r="E105" s="150">
        <f>'Unit Data from Audit Worksheet'!F116</f>
        <v>0</v>
      </c>
      <c r="F105" s="47"/>
      <c r="G105" s="72"/>
      <c r="H105" s="353"/>
      <c r="I105" s="38"/>
      <c r="J105" s="42">
        <v>107</v>
      </c>
      <c r="K105" s="51" t="s">
        <v>1089</v>
      </c>
      <c r="L105" s="589">
        <f t="shared" si="9"/>
        <v>0</v>
      </c>
      <c r="P105" s="322"/>
      <c r="X105" s="586"/>
      <c r="Y105" s="586"/>
      <c r="Z105" s="3" t="s">
        <v>1082</v>
      </c>
    </row>
    <row r="106" spans="1:26" ht="60" customHeight="1" x14ac:dyDescent="0.25">
      <c r="A106" s="587">
        <f>'Unit Data from Audit Worksheet'!A117</f>
        <v>108</v>
      </c>
      <c r="B106" s="54" t="str">
        <f>'Unit Data from Audit Worksheet'!C117</f>
        <v>Revenue, Expenses, Changes in Net Position</v>
      </c>
      <c r="C106" s="588" t="str">
        <f>'Unit Data from Audit Worksheet'!D117</f>
        <v>Total Operating Expenses. May include Interest Expense - Enter as a positive</v>
      </c>
      <c r="D106" s="360"/>
      <c r="E106" s="150">
        <f>'Unit Data from Audit Worksheet'!F117</f>
        <v>0</v>
      </c>
      <c r="F106" s="47"/>
      <c r="G106" s="72"/>
      <c r="H106" s="353"/>
      <c r="I106" s="38"/>
      <c r="J106" s="42">
        <v>108</v>
      </c>
      <c r="K106" s="51" t="s">
        <v>1096</v>
      </c>
      <c r="L106" s="589">
        <f t="shared" si="9"/>
        <v>0</v>
      </c>
      <c r="P106" s="322"/>
      <c r="X106" s="586"/>
      <c r="Y106" s="586"/>
      <c r="Z106" s="3" t="s">
        <v>1082</v>
      </c>
    </row>
    <row r="107" spans="1:26" ht="60" customHeight="1" x14ac:dyDescent="0.25">
      <c r="A107" s="587">
        <f>'Unit Data from Audit Worksheet'!A118</f>
        <v>41</v>
      </c>
      <c r="B107" s="54" t="str">
        <f>'Unit Data from Audit Worksheet'!C118</f>
        <v>Revenue, Expenses, Changes in Net Position</v>
      </c>
      <c r="C107" s="588" t="str">
        <f>'Unit Data from Audit Worksheet'!D118</f>
        <v xml:space="preserve">Interest Expense - Enter as a positive </v>
      </c>
      <c r="D107" s="360"/>
      <c r="E107" s="150">
        <f>'Unit Data from Audit Worksheet'!F118</f>
        <v>0</v>
      </c>
      <c r="F107" s="47"/>
      <c r="G107" s="72"/>
      <c r="H107" s="353"/>
      <c r="I107" s="38"/>
      <c r="J107" s="42">
        <v>41</v>
      </c>
      <c r="K107" s="51" t="s">
        <v>1097</v>
      </c>
      <c r="L107" s="589">
        <f t="shared" si="9"/>
        <v>0</v>
      </c>
      <c r="P107" s="322"/>
      <c r="X107" s="586"/>
      <c r="Y107" s="586"/>
      <c r="Z107" s="3" t="s">
        <v>1082</v>
      </c>
    </row>
    <row r="108" spans="1:26" ht="60" customHeight="1" x14ac:dyDescent="0.25">
      <c r="A108" s="587">
        <f>'Unit Data from Audit Worksheet'!A119</f>
        <v>194</v>
      </c>
      <c r="B108" s="54" t="str">
        <f>'Unit Data from Audit Worksheet'!C119</f>
        <v>Revenue, Expenses, Changes in Net Position</v>
      </c>
      <c r="C108" s="588" t="str">
        <f>'Unit Data from Audit Worksheet'!D119</f>
        <v xml:space="preserve">Capital Contributions </v>
      </c>
      <c r="D108" s="360"/>
      <c r="E108" s="150">
        <f>'Unit Data from Audit Worksheet'!F119</f>
        <v>0</v>
      </c>
      <c r="F108" s="47"/>
      <c r="G108" s="72"/>
      <c r="H108" s="353"/>
      <c r="I108" s="38"/>
      <c r="J108" s="42">
        <v>194</v>
      </c>
      <c r="K108" s="51" t="s">
        <v>1090</v>
      </c>
      <c r="L108" s="589">
        <f t="shared" si="9"/>
        <v>0</v>
      </c>
      <c r="P108" s="322"/>
      <c r="X108" s="586"/>
      <c r="Y108" s="586"/>
      <c r="Z108" s="3" t="s">
        <v>1082</v>
      </c>
    </row>
    <row r="109" spans="1:26" ht="60" customHeight="1" x14ac:dyDescent="0.25">
      <c r="A109" s="587">
        <f>'Unit Data from Audit Worksheet'!A120</f>
        <v>294</v>
      </c>
      <c r="B109" s="54" t="str">
        <f>'Unit Data from Audit Worksheet'!C120</f>
        <v>Revenue, Expenses, Changes in Net Position</v>
      </c>
      <c r="C109" s="588" t="str">
        <f>'Unit Data from Audit Worksheet'!D120</f>
        <v>Change in Net Position</v>
      </c>
      <c r="D109" s="360"/>
      <c r="E109" s="150">
        <f>'Unit Data from Audit Worksheet'!F120</f>
        <v>0</v>
      </c>
      <c r="F109" s="47"/>
      <c r="G109" s="72"/>
      <c r="H109" s="353"/>
      <c r="I109" s="38"/>
      <c r="J109" s="42">
        <v>294</v>
      </c>
      <c r="K109" s="51" t="s">
        <v>1091</v>
      </c>
      <c r="L109" s="589">
        <f t="shared" si="9"/>
        <v>0</v>
      </c>
      <c r="P109" s="322"/>
      <c r="X109" s="586"/>
      <c r="Y109" s="586"/>
      <c r="Z109" s="3" t="s">
        <v>1082</v>
      </c>
    </row>
    <row r="110" spans="1:26" ht="60" customHeight="1" x14ac:dyDescent="0.25">
      <c r="A110" s="587">
        <f>'Unit Data from Audit Worksheet'!A123</f>
        <v>31</v>
      </c>
      <c r="B110" s="54" t="str">
        <f>'Unit Data from Audit Worksheet'!C123</f>
        <v>Combined Totals of all Proprietary Funds - Revenue, Expenses, Changes in Net Position</v>
      </c>
      <c r="C110" s="588" t="str">
        <f>'Unit Data from Audit Worksheet'!D123</f>
        <v>Combined Totals of all Proprietary Funds - Change in net position - (increase in net position is recorded as a positive and a decrease in net position is recorded as a negative)</v>
      </c>
      <c r="D110" s="360"/>
      <c r="E110" s="150">
        <f>'Unit Data from Audit Worksheet'!F123</f>
        <v>0</v>
      </c>
      <c r="F110" s="47"/>
      <c r="G110" s="72"/>
      <c r="H110" s="353"/>
      <c r="I110" s="38"/>
      <c r="J110" s="42">
        <v>31</v>
      </c>
      <c r="K110" s="51" t="s">
        <v>1075</v>
      </c>
      <c r="L110" s="589">
        <f t="shared" si="9"/>
        <v>0</v>
      </c>
      <c r="P110" s="322"/>
      <c r="X110" s="586"/>
      <c r="Y110" s="586"/>
    </row>
    <row r="111" spans="1:26" ht="60" customHeight="1" x14ac:dyDescent="0.25">
      <c r="A111" s="587">
        <f>'Unit Data from Audit Worksheet'!A124</f>
        <v>193</v>
      </c>
      <c r="B111" s="54" t="str">
        <f>'Unit Data from Audit Worksheet'!C124</f>
        <v>Combined Proprietary Funds - Change in Cash Flow Statement</v>
      </c>
      <c r="C111" s="588" t="str">
        <f>'Unit Data from Audit Worksheet'!D124</f>
        <v>Combined Totals of all Proprietary Funds - Capital Contributions</v>
      </c>
      <c r="D111" s="360"/>
      <c r="E111" s="150">
        <f>'Unit Data from Audit Worksheet'!F124</f>
        <v>0</v>
      </c>
      <c r="F111" s="47"/>
      <c r="G111" s="72"/>
      <c r="H111" s="353"/>
      <c r="I111" s="38"/>
      <c r="J111" s="42">
        <v>193</v>
      </c>
      <c r="K111" s="51" t="s">
        <v>311</v>
      </c>
      <c r="L111" s="589">
        <f t="shared" si="9"/>
        <v>0</v>
      </c>
      <c r="P111" s="322"/>
      <c r="X111" s="586"/>
      <c r="Y111" s="586"/>
    </row>
    <row r="112" spans="1:26" ht="60" customHeight="1" x14ac:dyDescent="0.25">
      <c r="A112" s="587">
        <f>'Unit Data from Audit Worksheet'!A125</f>
        <v>33</v>
      </c>
      <c r="B112" s="54" t="str">
        <f>'Unit Data from Audit Worksheet'!C125</f>
        <v>Combined Proprietary Funds - Change in Cash Flow Statement</v>
      </c>
      <c r="C112" s="588" t="str">
        <f>'Unit Data from Audit Worksheet'!D125</f>
        <v>Combined Totals of all Proprietary Funds - Cash Flow from Operating</v>
      </c>
      <c r="D112" s="360"/>
      <c r="E112" s="150">
        <f>'Unit Data from Audit Worksheet'!F125</f>
        <v>0</v>
      </c>
      <c r="F112" s="47"/>
      <c r="G112" s="72"/>
      <c r="H112" s="353"/>
      <c r="I112" s="38"/>
      <c r="J112" s="42">
        <v>33</v>
      </c>
      <c r="K112" s="51" t="s">
        <v>299</v>
      </c>
      <c r="L112" s="589">
        <f t="shared" si="9"/>
        <v>0</v>
      </c>
      <c r="P112" s="322"/>
      <c r="X112" s="586"/>
      <c r="Y112" s="586"/>
    </row>
    <row r="113" spans="1:26" ht="60" customHeight="1" x14ac:dyDescent="0.25">
      <c r="A113" s="587">
        <f>'Unit Data from Audit Worksheet'!A126</f>
        <v>104</v>
      </c>
      <c r="B113" s="54" t="str">
        <f>'Unit Data from Audit Worksheet'!C126</f>
        <v>Cash Flows</v>
      </c>
      <c r="C113" s="588" t="str">
        <f>'Unit Data from Audit Worksheet'!D126</f>
        <v>Capital Outlays</v>
      </c>
      <c r="D113" s="142"/>
      <c r="E113" s="150">
        <f>'Unit Data from Audit Worksheet'!F126</f>
        <v>0</v>
      </c>
      <c r="F113" s="47"/>
      <c r="G113" s="72"/>
      <c r="H113" s="353"/>
      <c r="I113" s="38"/>
      <c r="J113" s="42">
        <v>104</v>
      </c>
      <c r="K113" s="51" t="s">
        <v>1093</v>
      </c>
      <c r="L113" s="589">
        <f t="shared" si="9"/>
        <v>0</v>
      </c>
      <c r="P113" s="322"/>
      <c r="X113" s="586"/>
      <c r="Y113" s="586"/>
      <c r="Z113" s="3" t="s">
        <v>1082</v>
      </c>
    </row>
    <row r="114" spans="1:26" ht="60" customHeight="1" x14ac:dyDescent="0.25">
      <c r="A114" s="587">
        <f>'Unit Data from Audit Worksheet'!A127</f>
        <v>39</v>
      </c>
      <c r="B114" s="54" t="str">
        <f>'Unit Data from Audit Worksheet'!C127</f>
        <v>Cash Flows</v>
      </c>
      <c r="C114" s="588" t="str">
        <f>'Unit Data from Audit Worksheet'!D127</f>
        <v>Principal Paid - Long-term Debt</v>
      </c>
      <c r="D114" s="142"/>
      <c r="E114" s="150">
        <f>'Unit Data from Audit Worksheet'!F127</f>
        <v>0</v>
      </c>
      <c r="F114" s="47"/>
      <c r="G114" s="72"/>
      <c r="H114" s="353"/>
      <c r="I114" s="38"/>
      <c r="J114" s="42">
        <v>39</v>
      </c>
      <c r="K114" s="51" t="s">
        <v>1094</v>
      </c>
      <c r="L114" s="589">
        <f t="shared" si="9"/>
        <v>0</v>
      </c>
      <c r="P114" s="322"/>
      <c r="X114" s="586"/>
      <c r="Y114" s="586"/>
      <c r="Z114" s="3" t="s">
        <v>1082</v>
      </c>
    </row>
    <row r="115" spans="1:26" ht="60" customHeight="1" x14ac:dyDescent="0.25">
      <c r="A115" s="341">
        <f>'Unit Data from Audit Worksheet'!A131</f>
        <v>596</v>
      </c>
      <c r="B115" s="355"/>
      <c r="C115" s="340" t="str">
        <f>'Unit Data from Audit Worksheet'!D131</f>
        <v>Indicate if your water/sewer system:
50 - Became Operational
51 - Ceased Operations
52 - No Change</v>
      </c>
      <c r="D115" s="142"/>
      <c r="E115" s="361">
        <f>'Unit Data from Audit Worksheet'!F131</f>
        <v>0</v>
      </c>
      <c r="F115" s="354"/>
      <c r="G115" s="354"/>
      <c r="H115" s="353">
        <f>'Unit Data from Audit Worksheet'!I131</f>
        <v>0</v>
      </c>
      <c r="I115" s="38"/>
      <c r="J115" s="352">
        <v>596</v>
      </c>
      <c r="K115" s="351" t="s">
        <v>382</v>
      </c>
      <c r="L115" s="589">
        <f t="shared" si="9"/>
        <v>0</v>
      </c>
      <c r="P115" s="323"/>
      <c r="W115" s="3" t="b">
        <f t="shared" si="10"/>
        <v>1</v>
      </c>
      <c r="X115" s="586">
        <f t="shared" si="1"/>
        <v>0</v>
      </c>
      <c r="Y115" s="586">
        <f t="shared" si="2"/>
        <v>0</v>
      </c>
    </row>
    <row r="116" spans="1:26" ht="45" x14ac:dyDescent="0.25">
      <c r="A116" s="341">
        <f>'Unit Data from Audit Worksheet'!A132</f>
        <v>80</v>
      </c>
      <c r="B116" s="355" t="str">
        <f>'Unit Data from Audit Worksheet'!C132</f>
        <v>Water Sewer Net Position Statement</v>
      </c>
      <c r="C116" s="340" t="str">
        <f>'Unit Data from Audit Worksheet'!D132</f>
        <v>Unrestricted Cash and investments 
Exclude restricted cash and/or restricted investments.</v>
      </c>
      <c r="D116" s="142"/>
      <c r="E116" s="361">
        <f>'Unit Data from Audit Worksheet'!F132</f>
        <v>0</v>
      </c>
      <c r="F116" s="354">
        <f>IF(L116&lt;0,"Error: Number is normally positive.",)</f>
        <v>0</v>
      </c>
      <c r="G116" s="354" t="e">
        <f>'Unit Data from Audit Worksheet'!G132</f>
        <v>#N/A</v>
      </c>
      <c r="H116" s="353">
        <f>'Unit Data from Audit Worksheet'!I132</f>
        <v>0</v>
      </c>
      <c r="I116" s="38"/>
      <c r="J116" s="352">
        <v>80</v>
      </c>
      <c r="K116" s="351" t="s">
        <v>218</v>
      </c>
      <c r="L116" s="589">
        <f t="shared" si="9"/>
        <v>0</v>
      </c>
      <c r="P116" s="323"/>
      <c r="W116" s="3" t="b">
        <f t="shared" si="10"/>
        <v>1</v>
      </c>
      <c r="X116" s="586">
        <f t="shared" si="1"/>
        <v>0</v>
      </c>
      <c r="Y116" s="586">
        <f t="shared" si="2"/>
        <v>0</v>
      </c>
    </row>
    <row r="117" spans="1:26" ht="60" x14ac:dyDescent="0.25">
      <c r="A117" s="341">
        <f>'Unit Data from Audit Worksheet'!A133</f>
        <v>81</v>
      </c>
      <c r="B117" s="355" t="str">
        <f>'Unit Data from Audit Worksheet'!C133</f>
        <v>Water Sewer Net Position Statement</v>
      </c>
      <c r="C117" s="340" t="str">
        <f>'Unit Data from Audit Worksheet'!D133</f>
        <v>Customer accounts receivable (net of allowance accounts). 
Include both billed and unbilled amounts.</v>
      </c>
      <c r="D117" s="142"/>
      <c r="E117" s="361">
        <f>'Unit Data from Audit Worksheet'!F133</f>
        <v>0</v>
      </c>
      <c r="F117" s="354">
        <f>IF(L117&lt;0,"Error: Number is normally positive.",)</f>
        <v>0</v>
      </c>
      <c r="G117" s="356"/>
      <c r="H117" s="353">
        <f>'Unit Data from Audit Worksheet'!I133</f>
        <v>0</v>
      </c>
      <c r="I117" s="38"/>
      <c r="J117" s="352">
        <v>81</v>
      </c>
      <c r="K117" s="351" t="s">
        <v>219</v>
      </c>
      <c r="L117" s="589">
        <f t="shared" si="9"/>
        <v>0</v>
      </c>
      <c r="P117" s="323"/>
      <c r="W117" s="3" t="b">
        <f t="shared" si="10"/>
        <v>1</v>
      </c>
      <c r="X117" s="586">
        <f t="shared" ref="X117:X181" si="12">E117-L117</f>
        <v>0</v>
      </c>
      <c r="Y117" s="586">
        <f t="shared" ref="Y117:Y181" si="13">D117-L117</f>
        <v>0</v>
      </c>
    </row>
    <row r="118" spans="1:26" ht="68.25" customHeight="1" x14ac:dyDescent="0.25">
      <c r="A118" s="341">
        <f>'Unit Data from Audit Worksheet'!A134</f>
        <v>579</v>
      </c>
      <c r="B118" s="355" t="str">
        <f>'Unit Data from Audit Worksheet'!C134</f>
        <v>Water Sewer Net Position Statement</v>
      </c>
      <c r="C118" s="340" t="str">
        <f>'Unit Data from Audit Worksheet'!D134</f>
        <v>Water Sewer - Advance To:
Interfund loan receivable-portion of repayment plan longer than 12 months</v>
      </c>
      <c r="D118" s="142"/>
      <c r="E118" s="361">
        <f>'Unit Data from Audit Worksheet'!F134</f>
        <v>0</v>
      </c>
      <c r="F118" s="354"/>
      <c r="G118" s="356"/>
      <c r="H118" s="353"/>
      <c r="I118" s="38"/>
      <c r="J118" s="352">
        <v>579</v>
      </c>
      <c r="K118" s="351" t="s">
        <v>357</v>
      </c>
      <c r="L118" s="589">
        <f t="shared" si="9"/>
        <v>0</v>
      </c>
      <c r="N118" s="613"/>
      <c r="P118" s="323"/>
      <c r="W118" s="3" t="b">
        <f t="shared" si="10"/>
        <v>1</v>
      </c>
      <c r="X118" s="586">
        <f t="shared" si="12"/>
        <v>0</v>
      </c>
      <c r="Y118" s="586">
        <f t="shared" si="13"/>
        <v>0</v>
      </c>
    </row>
    <row r="119" spans="1:26" ht="47.25" customHeight="1" x14ac:dyDescent="0.25">
      <c r="A119" s="341">
        <f>'Unit Data from Audit Worksheet'!A135</f>
        <v>510</v>
      </c>
      <c r="B119" s="355" t="str">
        <f>'Unit Data from Audit Worksheet'!C135</f>
        <v>Water Sewer Net Position Statement</v>
      </c>
      <c r="C119" s="340" t="str">
        <f>'Unit Data from Audit Worksheet'!D135</f>
        <v>Amount of Inventories and Prepaid expenses in current assets</v>
      </c>
      <c r="D119" s="142"/>
      <c r="E119" s="361">
        <f>'Unit Data from Audit Worksheet'!F135</f>
        <v>0</v>
      </c>
      <c r="F119" s="354"/>
      <c r="G119" s="356"/>
      <c r="H119" s="353">
        <f>'Unit Data from Audit Worksheet'!I135</f>
        <v>0</v>
      </c>
      <c r="I119" s="38"/>
      <c r="J119" s="352">
        <v>510</v>
      </c>
      <c r="K119" s="351" t="s">
        <v>220</v>
      </c>
      <c r="L119" s="589">
        <f t="shared" si="9"/>
        <v>0</v>
      </c>
      <c r="P119" s="323"/>
      <c r="W119" s="3" t="b">
        <f t="shared" si="10"/>
        <v>1</v>
      </c>
      <c r="X119" s="586">
        <f t="shared" si="12"/>
        <v>0</v>
      </c>
      <c r="Y119" s="586">
        <f t="shared" si="13"/>
        <v>0</v>
      </c>
    </row>
    <row r="120" spans="1:26" ht="45" x14ac:dyDescent="0.25">
      <c r="A120" s="341">
        <f>'Unit Data from Audit Worksheet'!A136</f>
        <v>654</v>
      </c>
      <c r="B120" s="355" t="str">
        <f>'Unit Data from Audit Worksheet'!C136</f>
        <v>Water Sewer Net Position Statement</v>
      </c>
      <c r="C120" s="340" t="str">
        <f>'Unit Data from Audit Worksheet'!D136</f>
        <v xml:space="preserve">Total Current assets as listed on the WS Net Position Statement.  
</v>
      </c>
      <c r="D120" s="142"/>
      <c r="E120" s="361">
        <f>'Unit Data from Audit Worksheet'!F136</f>
        <v>0</v>
      </c>
      <c r="F120" s="354">
        <f>IF((+L116+L117+L119)&gt;L120,"Please review components of current assets above Acct. (80+81+510&gt;654",)</f>
        <v>0</v>
      </c>
      <c r="G120" s="356" t="str">
        <f>IF(Q120=1," Included in error count"," ")</f>
        <v xml:space="preserve"> </v>
      </c>
      <c r="H120" s="353">
        <f>'Unit Data from Audit Worksheet'!I136</f>
        <v>0</v>
      </c>
      <c r="I120" s="38"/>
      <c r="J120" s="352">
        <v>654</v>
      </c>
      <c r="K120" s="358" t="s">
        <v>539</v>
      </c>
      <c r="L120" s="589">
        <f t="shared" si="9"/>
        <v>0</v>
      </c>
      <c r="P120" s="323"/>
      <c r="Q120" s="579">
        <f>IF((+L116+L117+L119)&gt;L120,1,0)</f>
        <v>0</v>
      </c>
      <c r="W120" s="3" t="b">
        <f t="shared" si="10"/>
        <v>1</v>
      </c>
      <c r="X120" s="586">
        <f t="shared" si="12"/>
        <v>0</v>
      </c>
      <c r="Y120" s="586">
        <f t="shared" si="13"/>
        <v>0</v>
      </c>
    </row>
    <row r="121" spans="1:26" ht="45" x14ac:dyDescent="0.25">
      <c r="A121" s="341">
        <f>'Unit Data from Audit Worksheet'!A137</f>
        <v>655</v>
      </c>
      <c r="B121" s="355" t="str">
        <f>'Unit Data from Audit Worksheet'!C137</f>
        <v>Water Sewer Net Position Statement</v>
      </c>
      <c r="C121" s="340" t="str">
        <f>'Unit Data from Audit Worksheet'!D137</f>
        <v>WS-Any current assets that are restricted (Cash, Accounts Rec., etc..) and included in account 654 above</v>
      </c>
      <c r="D121" s="142"/>
      <c r="E121" s="361">
        <f>'Unit Data from Audit Worksheet'!F137</f>
        <v>0</v>
      </c>
      <c r="F121" s="354"/>
      <c r="G121" s="356"/>
      <c r="H121" s="353"/>
      <c r="I121" s="38"/>
      <c r="J121" s="352">
        <v>655</v>
      </c>
      <c r="K121" s="358" t="s">
        <v>585</v>
      </c>
      <c r="L121" s="589">
        <f t="shared" si="9"/>
        <v>0</v>
      </c>
      <c r="P121" s="323"/>
      <c r="W121" s="3" t="b">
        <f t="shared" si="10"/>
        <v>1</v>
      </c>
      <c r="X121" s="586">
        <f t="shared" si="12"/>
        <v>0</v>
      </c>
      <c r="Y121" s="586">
        <f t="shared" si="13"/>
        <v>0</v>
      </c>
    </row>
    <row r="122" spans="1:26" ht="42.75" customHeight="1" x14ac:dyDescent="0.25">
      <c r="A122" s="341">
        <f>'Unit Data from Audit Worksheet'!A138</f>
        <v>381</v>
      </c>
      <c r="B122" s="355" t="str">
        <f>'Unit Data from Audit Worksheet'!C138</f>
        <v>Water Sewer Net Position Statement</v>
      </c>
      <c r="C122" s="340" t="str">
        <f>'Unit Data from Audit Worksheet'!D138</f>
        <v>Total Assets and deferred outflows</v>
      </c>
      <c r="D122" s="142"/>
      <c r="E122" s="361">
        <f>'Unit Data from Audit Worksheet'!F138</f>
        <v>0</v>
      </c>
      <c r="F122" s="354" t="str">
        <f>IF(L122&lt;L120,"Please review components of current assets above acct. 381&lt;654"," ")</f>
        <v xml:space="preserve"> </v>
      </c>
      <c r="G122" s="356" t="str">
        <f>IF(Q122=1," Included in error count"," ")</f>
        <v xml:space="preserve"> </v>
      </c>
      <c r="H122" s="353">
        <f>'Unit Data from Audit Worksheet'!I138</f>
        <v>0</v>
      </c>
      <c r="I122" s="38"/>
      <c r="J122" s="352">
        <v>381</v>
      </c>
      <c r="K122" s="351" t="s">
        <v>113</v>
      </c>
      <c r="L122" s="589">
        <f t="shared" si="9"/>
        <v>0</v>
      </c>
      <c r="P122" s="323"/>
      <c r="Q122" s="579">
        <f>IF(L122&lt;L120,1,0)</f>
        <v>0</v>
      </c>
      <c r="W122" s="3" t="b">
        <f t="shared" si="10"/>
        <v>1</v>
      </c>
      <c r="X122" s="586">
        <f t="shared" si="12"/>
        <v>0</v>
      </c>
      <c r="Y122" s="586">
        <f t="shared" si="13"/>
        <v>0</v>
      </c>
    </row>
    <row r="123" spans="1:26" ht="60.75" customHeight="1" x14ac:dyDescent="0.25">
      <c r="A123" s="601">
        <f>'Unit Data from Audit Worksheet'!A139</f>
        <v>578</v>
      </c>
      <c r="B123" s="117" t="str">
        <f>'Unit Data from Audit Worksheet'!C139</f>
        <v>Water Sewer Net Position Statement</v>
      </c>
      <c r="C123" s="591" t="str">
        <f>'Unit Data from Audit Worksheet'!D139</f>
        <v>Water Sewer - Advance From: 
Interfund loan Payable-portion of repayment plan longer than 12 months</v>
      </c>
      <c r="D123" s="110"/>
      <c r="E123" s="153">
        <f>'Unit Data from Audit Worksheet'!F139</f>
        <v>0</v>
      </c>
      <c r="F123" s="111"/>
      <c r="G123" s="112"/>
      <c r="H123" s="113"/>
      <c r="I123" s="38"/>
      <c r="J123" s="105">
        <v>578</v>
      </c>
      <c r="K123" s="44" t="s">
        <v>358</v>
      </c>
      <c r="L123" s="589">
        <f t="shared" si="9"/>
        <v>0</v>
      </c>
      <c r="P123" s="324"/>
      <c r="Q123" s="357"/>
      <c r="W123" s="3" t="b">
        <f t="shared" si="10"/>
        <v>1</v>
      </c>
      <c r="X123" s="586">
        <f t="shared" si="12"/>
        <v>0</v>
      </c>
      <c r="Y123" s="586">
        <f t="shared" si="13"/>
        <v>0</v>
      </c>
    </row>
    <row r="124" spans="1:26" s="18" customFormat="1" ht="104.25" customHeight="1" x14ac:dyDescent="0.25">
      <c r="A124" s="312">
        <v>633</v>
      </c>
      <c r="B124" s="368" t="str">
        <f>'Unit Data from Audit Worksheet'!C140</f>
        <v>Water Sewer Net Position Statement</v>
      </c>
      <c r="C124" s="312"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7">
        <f>'Unit Data from Audit Worksheet'!F140</f>
        <v>0</v>
      </c>
      <c r="F124" s="349" t="str">
        <f>IF(L124&gt;=(L125+L126+L127+L128+L129+L130),"","Account 633 is less than the total sum of accounts 634 through 638 + 383")</f>
        <v/>
      </c>
      <c r="G124" s="334">
        <f>L124-(L125+L126+L127+L128+L129+L130)</f>
        <v>0</v>
      </c>
      <c r="H124" s="349"/>
      <c r="I124" s="602"/>
      <c r="J124" s="348">
        <v>633</v>
      </c>
      <c r="K124" s="315" t="s">
        <v>473</v>
      </c>
      <c r="L124" s="603">
        <f>IF(D124="",E124,D124)</f>
        <v>0</v>
      </c>
      <c r="M124" s="593"/>
      <c r="N124" s="593"/>
      <c r="O124" s="593"/>
      <c r="P124" s="325"/>
      <c r="Q124" s="594"/>
      <c r="R124" s="3"/>
      <c r="S124" s="593"/>
      <c r="T124" s="593"/>
      <c r="U124" s="593"/>
      <c r="V124" s="593"/>
      <c r="W124" s="18" t="b">
        <f t="shared" si="10"/>
        <v>1</v>
      </c>
      <c r="X124" s="595">
        <f t="shared" si="12"/>
        <v>0</v>
      </c>
      <c r="Y124" s="595">
        <f t="shared" si="13"/>
        <v>0</v>
      </c>
    </row>
    <row r="125" spans="1:26" s="18" customFormat="1" ht="130.5" customHeight="1" x14ac:dyDescent="0.25">
      <c r="A125" s="312">
        <v>634</v>
      </c>
      <c r="B125" s="368" t="str">
        <f>'Unit Data from Audit Worksheet'!C141</f>
        <v>Water Sewer Net Position Statement</v>
      </c>
      <c r="C125" s="312"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7">
        <f>'Unit Data from Audit Worksheet'!F141</f>
        <v>0</v>
      </c>
      <c r="F125" s="349"/>
      <c r="G125" s="334"/>
      <c r="H125" s="349"/>
      <c r="I125" s="602"/>
      <c r="J125" s="348">
        <v>634</v>
      </c>
      <c r="K125" s="315" t="s">
        <v>474</v>
      </c>
      <c r="L125" s="603">
        <f>IF(D125="",E125,D125)</f>
        <v>0</v>
      </c>
      <c r="M125" s="593"/>
      <c r="N125" s="593"/>
      <c r="O125" s="593"/>
      <c r="P125" s="325"/>
      <c r="Q125" s="594"/>
      <c r="R125" s="3"/>
      <c r="S125" s="593"/>
      <c r="T125" s="593"/>
      <c r="U125" s="593"/>
      <c r="V125" s="593"/>
      <c r="W125" s="18" t="b">
        <f t="shared" si="10"/>
        <v>1</v>
      </c>
      <c r="X125" s="595">
        <f t="shared" si="12"/>
        <v>0</v>
      </c>
      <c r="Y125" s="595">
        <f t="shared" si="13"/>
        <v>0</v>
      </c>
    </row>
    <row r="126" spans="1:26" s="18" customFormat="1" ht="105.75" customHeight="1" x14ac:dyDescent="0.25">
      <c r="A126" s="312">
        <v>635</v>
      </c>
      <c r="B126" s="368" t="str">
        <f>'Unit Data from Audit Worksheet'!C142</f>
        <v>Water Sewer Net Position Statement</v>
      </c>
      <c r="C126" s="312"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7">
        <f>'Unit Data from Audit Worksheet'!F142</f>
        <v>0</v>
      </c>
      <c r="F126" s="349"/>
      <c r="G126" s="334"/>
      <c r="H126" s="349"/>
      <c r="I126" s="602"/>
      <c r="J126" s="348">
        <v>635</v>
      </c>
      <c r="K126" s="315" t="s">
        <v>475</v>
      </c>
      <c r="L126" s="603">
        <f>IF(D126="",E126,D126)</f>
        <v>0</v>
      </c>
      <c r="M126" s="593"/>
      <c r="N126" s="593"/>
      <c r="O126" s="593"/>
      <c r="P126" s="325"/>
      <c r="Q126" s="594"/>
      <c r="R126" s="3"/>
      <c r="S126" s="593"/>
      <c r="T126" s="593"/>
      <c r="U126" s="593"/>
      <c r="V126" s="593"/>
      <c r="W126" s="18" t="b">
        <f t="shared" si="10"/>
        <v>1</v>
      </c>
      <c r="X126" s="595">
        <f t="shared" si="12"/>
        <v>0</v>
      </c>
      <c r="Y126" s="595">
        <f t="shared" si="13"/>
        <v>0</v>
      </c>
    </row>
    <row r="127" spans="1:26" s="18" customFormat="1" ht="105.75" customHeight="1" x14ac:dyDescent="0.25">
      <c r="A127" s="312">
        <v>636</v>
      </c>
      <c r="B127" s="368" t="str">
        <f>'Unit Data from Audit Worksheet'!C143</f>
        <v>Water Sewer Net Position Statement</v>
      </c>
      <c r="C127" s="312"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7">
        <f>'Unit Data from Audit Worksheet'!F143</f>
        <v>0</v>
      </c>
      <c r="F127" s="349"/>
      <c r="G127" s="334"/>
      <c r="H127" s="349"/>
      <c r="I127" s="602"/>
      <c r="J127" s="348">
        <v>636</v>
      </c>
      <c r="K127" s="315" t="s">
        <v>470</v>
      </c>
      <c r="L127" s="603">
        <f t="shared" ref="L127:L137" si="14">IF(D127="",E127,D127)</f>
        <v>0</v>
      </c>
      <c r="M127" s="593"/>
      <c r="N127" s="593"/>
      <c r="O127" s="593"/>
      <c r="P127" s="325"/>
      <c r="Q127" s="594"/>
      <c r="R127" s="3"/>
      <c r="S127" s="593"/>
      <c r="T127" s="593"/>
      <c r="U127" s="593"/>
      <c r="V127" s="593"/>
      <c r="W127" s="18" t="b">
        <f t="shared" si="10"/>
        <v>1</v>
      </c>
      <c r="X127" s="595">
        <f t="shared" si="12"/>
        <v>0</v>
      </c>
      <c r="Y127" s="595">
        <f t="shared" si="13"/>
        <v>0</v>
      </c>
    </row>
    <row r="128" spans="1:26" s="18" customFormat="1" ht="59.25" customHeight="1" x14ac:dyDescent="0.25">
      <c r="A128" s="312">
        <v>637</v>
      </c>
      <c r="B128" s="368" t="str">
        <f>'Unit Data from Audit Worksheet'!C144</f>
        <v>Water Sewer Net Position Statement</v>
      </c>
      <c r="C128" s="312" t="str">
        <f>'Unit Data from Audit Worksheet'!D144</f>
        <v>Please enter any current liabilities that are payable from restricted assets and included in account 633 above.
Enter as positive</v>
      </c>
      <c r="D128" s="110"/>
      <c r="E128" s="367">
        <f>'Unit Data from Audit Worksheet'!F144</f>
        <v>0</v>
      </c>
      <c r="F128" s="349"/>
      <c r="G128" s="334"/>
      <c r="H128" s="349"/>
      <c r="I128" s="602"/>
      <c r="J128" s="348">
        <v>637</v>
      </c>
      <c r="K128" s="315" t="s">
        <v>471</v>
      </c>
      <c r="L128" s="603">
        <f t="shared" si="14"/>
        <v>0</v>
      </c>
      <c r="M128" s="593"/>
      <c r="N128" s="593"/>
      <c r="O128" s="593"/>
      <c r="P128" s="325"/>
      <c r="Q128" s="594"/>
      <c r="R128" s="3"/>
      <c r="S128" s="593"/>
      <c r="T128" s="593"/>
      <c r="U128" s="593"/>
      <c r="V128" s="593"/>
      <c r="W128" s="18" t="b">
        <f t="shared" si="10"/>
        <v>1</v>
      </c>
      <c r="X128" s="595">
        <f t="shared" si="12"/>
        <v>0</v>
      </c>
      <c r="Y128" s="595">
        <f t="shared" si="13"/>
        <v>0</v>
      </c>
    </row>
    <row r="129" spans="1:25" s="18" customFormat="1" ht="103.5" customHeight="1" x14ac:dyDescent="0.25">
      <c r="A129" s="312">
        <v>638</v>
      </c>
      <c r="B129" s="368" t="str">
        <f>'Unit Data from Audit Worksheet'!C145</f>
        <v>Water Sewer Net Position Statement</v>
      </c>
      <c r="C129" s="312"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7">
        <f>'Unit Data from Audit Worksheet'!F145</f>
        <v>0</v>
      </c>
      <c r="F129" s="349"/>
      <c r="G129" s="334"/>
      <c r="H129" s="349"/>
      <c r="I129" s="602"/>
      <c r="J129" s="348">
        <v>638</v>
      </c>
      <c r="K129" s="315" t="s">
        <v>476</v>
      </c>
      <c r="L129" s="603">
        <f t="shared" si="14"/>
        <v>0</v>
      </c>
      <c r="M129" s="593"/>
      <c r="N129" s="593"/>
      <c r="O129" s="593"/>
      <c r="P129" s="325"/>
      <c r="Q129" s="594"/>
      <c r="R129" s="3"/>
      <c r="S129" s="593"/>
      <c r="T129" s="593"/>
      <c r="U129" s="593"/>
      <c r="V129" s="593"/>
      <c r="W129" s="18" t="b">
        <f t="shared" si="10"/>
        <v>1</v>
      </c>
      <c r="X129" s="595">
        <f t="shared" si="12"/>
        <v>0</v>
      </c>
      <c r="Y129" s="595">
        <f t="shared" si="13"/>
        <v>0</v>
      </c>
    </row>
    <row r="130" spans="1:25" ht="76.5" customHeight="1" x14ac:dyDescent="0.25">
      <c r="A130" s="587">
        <f>'Unit Data from Audit Worksheet'!A146</f>
        <v>383</v>
      </c>
      <c r="B130" s="54" t="str">
        <f>'Unit Data from Audit Worksheet'!C146</f>
        <v>Water Sewer Net Position Statement</v>
      </c>
      <c r="C130" s="588" t="str">
        <f>'Unit Data from Audit Worksheet'!D146</f>
        <v>Unearned revenue (arising from cash receipts) that were included in Current Liabilities in the question in account 633 above.
Enter as positive</v>
      </c>
      <c r="D130" s="142"/>
      <c r="E130" s="150">
        <f>'Unit Data from Audit Worksheet'!F146</f>
        <v>0</v>
      </c>
      <c r="F130" s="47">
        <f>IF(L130&lt;0,"Error: Enter as a positive.",)</f>
        <v>0</v>
      </c>
      <c r="G130" s="72"/>
      <c r="H130" s="353">
        <f>'Unit Data from Audit Worksheet'!I146</f>
        <v>0</v>
      </c>
      <c r="I130" s="38"/>
      <c r="J130" s="42">
        <v>383</v>
      </c>
      <c r="K130" s="51" t="s">
        <v>221</v>
      </c>
      <c r="L130" s="589">
        <f t="shared" si="14"/>
        <v>0</v>
      </c>
      <c r="P130" s="322"/>
      <c r="W130" s="3" t="b">
        <f t="shared" si="10"/>
        <v>1</v>
      </c>
      <c r="X130" s="586">
        <f t="shared" si="12"/>
        <v>0</v>
      </c>
      <c r="Y130" s="586">
        <f t="shared" si="13"/>
        <v>0</v>
      </c>
    </row>
    <row r="131" spans="1:25" ht="54" customHeight="1" x14ac:dyDescent="0.25">
      <c r="A131" s="341">
        <f>'Unit Data from Audit Worksheet'!A147</f>
        <v>349</v>
      </c>
      <c r="B131" s="355" t="str">
        <f>'Unit Data from Audit Worksheet'!C147</f>
        <v>Water Sewer Net Position Statement</v>
      </c>
      <c r="C131" s="340" t="str">
        <f>'Unit Data from Audit Worksheet'!D147</f>
        <v>Total Liabilities and deferred inflows</v>
      </c>
      <c r="D131" s="142"/>
      <c r="E131" s="361">
        <f>'Unit Data from Audit Worksheet'!F147</f>
        <v>0</v>
      </c>
      <c r="F131" s="354">
        <f>IF(L124&gt;L131,"Error: Please review accts 633&gt;349",)</f>
        <v>0</v>
      </c>
      <c r="G131" s="356" t="str">
        <f>IF(Q131=1," Included in error count"," ")</f>
        <v xml:space="preserve"> </v>
      </c>
      <c r="H131" s="353">
        <f>'Unit Data from Audit Worksheet'!I147</f>
        <v>0</v>
      </c>
      <c r="I131" s="38"/>
      <c r="J131" s="352">
        <v>349</v>
      </c>
      <c r="K131" s="351" t="s">
        <v>122</v>
      </c>
      <c r="L131" s="589">
        <f t="shared" si="14"/>
        <v>0</v>
      </c>
      <c r="P131" s="323"/>
      <c r="Q131" s="579">
        <f>IF(L124&gt;L131,1,0)</f>
        <v>0</v>
      </c>
      <c r="W131" s="3" t="b">
        <f t="shared" si="10"/>
        <v>1</v>
      </c>
      <c r="X131" s="586">
        <f t="shared" si="12"/>
        <v>0</v>
      </c>
      <c r="Y131" s="586">
        <f t="shared" si="13"/>
        <v>0</v>
      </c>
    </row>
    <row r="132" spans="1:25" ht="56.25" customHeight="1" x14ac:dyDescent="0.25">
      <c r="A132" s="341">
        <f>'Unit Data from Audit Worksheet'!A148</f>
        <v>375</v>
      </c>
      <c r="B132" s="355" t="str">
        <f>'Unit Data from Audit Worksheet'!C148</f>
        <v>Water Sewer Net Position Statement</v>
      </c>
      <c r="C132" s="340" t="str">
        <f>'Unit Data from Audit Worksheet'!D148</f>
        <v>Total Net position, Unrestricted - enter negative unrestricted net position as a negative</v>
      </c>
      <c r="D132" s="142"/>
      <c r="E132" s="361">
        <f>'Unit Data from Audit Worksheet'!F148</f>
        <v>0</v>
      </c>
      <c r="F132" s="354"/>
      <c r="G132" s="356"/>
      <c r="H132" s="353">
        <f>'Unit Data from Audit Worksheet'!I148</f>
        <v>0</v>
      </c>
      <c r="I132" s="38"/>
      <c r="J132" s="352">
        <v>375</v>
      </c>
      <c r="K132" s="351" t="s">
        <v>222</v>
      </c>
      <c r="L132" s="589">
        <f t="shared" si="14"/>
        <v>0</v>
      </c>
      <c r="P132" s="323"/>
      <c r="W132" s="3" t="b">
        <f t="shared" si="10"/>
        <v>1</v>
      </c>
      <c r="X132" s="586">
        <f t="shared" si="12"/>
        <v>0</v>
      </c>
      <c r="Y132" s="586">
        <f t="shared" si="13"/>
        <v>0</v>
      </c>
    </row>
    <row r="133" spans="1:25" ht="56.25" customHeight="1" x14ac:dyDescent="0.25">
      <c r="A133" s="341">
        <f>'Unit Data from Audit Worksheet'!A149</f>
        <v>83</v>
      </c>
      <c r="B133" s="355" t="str">
        <f>'Unit Data from Audit Worksheet'!C149</f>
        <v>Water Sewer Net Position Statement</v>
      </c>
      <c r="C133" s="340" t="str">
        <f>'Unit Data from Audit Worksheet'!D149</f>
        <v>Total Net position</v>
      </c>
      <c r="D133" s="142"/>
      <c r="E133" s="361">
        <f>'Unit Data from Audit Worksheet'!F149</f>
        <v>0</v>
      </c>
      <c r="F133" s="354">
        <f>IF(+L122-L131-L133=0,,"Error: Total assets less total liabilities do not equal net position acct 381-349-83=0")</f>
        <v>0</v>
      </c>
      <c r="G133" s="91">
        <f>L122-L131-L133</f>
        <v>0</v>
      </c>
      <c r="H133" s="353">
        <f>'Unit Data from Audit Worksheet'!I149</f>
        <v>0</v>
      </c>
      <c r="I133" s="38"/>
      <c r="J133" s="352">
        <v>83</v>
      </c>
      <c r="K133" s="351" t="s">
        <v>102</v>
      </c>
      <c r="L133" s="589">
        <f t="shared" si="14"/>
        <v>0</v>
      </c>
      <c r="O133" s="597" t="e">
        <f>'Unit Data from Audit Worksheet'!E149</f>
        <v>#N/A</v>
      </c>
      <c r="P133" s="323"/>
      <c r="Q133" s="579">
        <f>IF(G133&lt;&gt;0,1,0)</f>
        <v>0</v>
      </c>
      <c r="W133" s="3" t="b">
        <f t="shared" ref="W133:W164" si="15">EXACT(A133,J133)</f>
        <v>1</v>
      </c>
      <c r="X133" s="586">
        <f t="shared" si="12"/>
        <v>0</v>
      </c>
      <c r="Y133" s="586">
        <f t="shared" si="13"/>
        <v>0</v>
      </c>
    </row>
    <row r="134" spans="1:25" ht="56.25" customHeight="1" x14ac:dyDescent="0.25">
      <c r="A134" s="341">
        <f>'Unit Data from Audit Worksheet'!A151</f>
        <v>90</v>
      </c>
      <c r="B134" s="355" t="str">
        <f>'Unit Data from Audit Worksheet'!C151</f>
        <v>Electric Fund Net Position Statement</v>
      </c>
      <c r="C134" s="340" t="str">
        <f>'Unit Data from Audit Worksheet'!D151</f>
        <v>All Unrestricted Cash and Investments.  
Exclude any restricted cash and investments.</v>
      </c>
      <c r="D134" s="142"/>
      <c r="E134" s="361">
        <f>'Unit Data from Audit Worksheet'!F151</f>
        <v>0</v>
      </c>
      <c r="F134" s="354">
        <f>IF(L134&lt;0,"Error: Number is normally positive.",)</f>
        <v>0</v>
      </c>
      <c r="G134" s="356"/>
      <c r="H134" s="353">
        <f>'Unit Data from Audit Worksheet'!I151</f>
        <v>0</v>
      </c>
      <c r="I134" s="38"/>
      <c r="J134" s="352">
        <v>90</v>
      </c>
      <c r="K134" s="351" t="s">
        <v>223</v>
      </c>
      <c r="L134" s="589">
        <f t="shared" si="14"/>
        <v>0</v>
      </c>
      <c r="P134" s="323"/>
      <c r="W134" s="3" t="b">
        <f t="shared" si="15"/>
        <v>1</v>
      </c>
      <c r="X134" s="586">
        <f t="shared" si="12"/>
        <v>0</v>
      </c>
      <c r="Y134" s="586">
        <f t="shared" si="13"/>
        <v>0</v>
      </c>
    </row>
    <row r="135" spans="1:25" ht="56.25" customHeight="1" x14ac:dyDescent="0.25">
      <c r="A135" s="341">
        <f>'Unit Data from Audit Worksheet'!A152</f>
        <v>91</v>
      </c>
      <c r="B135" s="355" t="str">
        <f>'Unit Data from Audit Worksheet'!C152</f>
        <v>Electric Fund Net Position Statement</v>
      </c>
      <c r="C135" s="340" t="str">
        <f>'Unit Data from Audit Worksheet'!D152</f>
        <v xml:space="preserve">Customer accounts receivable (net of allowance accounts)
Include billed and unbilled amounts </v>
      </c>
      <c r="D135" s="142"/>
      <c r="E135" s="361">
        <f>'Unit Data from Audit Worksheet'!F152</f>
        <v>0</v>
      </c>
      <c r="F135" s="354">
        <f>IF(L135&lt;0,"Error: Number is normally positive.",)</f>
        <v>0</v>
      </c>
      <c r="G135" s="356"/>
      <c r="H135" s="353">
        <f>'Unit Data from Audit Worksheet'!I152</f>
        <v>0</v>
      </c>
      <c r="I135" s="38"/>
      <c r="J135" s="352">
        <v>91</v>
      </c>
      <c r="K135" s="351" t="s">
        <v>224</v>
      </c>
      <c r="L135" s="589">
        <f t="shared" si="14"/>
        <v>0</v>
      </c>
      <c r="P135" s="323"/>
      <c r="W135" s="3" t="b">
        <f t="shared" si="15"/>
        <v>1</v>
      </c>
      <c r="X135" s="586">
        <f t="shared" si="12"/>
        <v>0</v>
      </c>
      <c r="Y135" s="586">
        <f t="shared" si="13"/>
        <v>0</v>
      </c>
    </row>
    <row r="136" spans="1:25" ht="56.25" customHeight="1" x14ac:dyDescent="0.25">
      <c r="A136" s="341">
        <f>'Unit Data from Audit Worksheet'!A153</f>
        <v>581</v>
      </c>
      <c r="B136" s="355" t="str">
        <f>'Unit Data from Audit Worksheet'!C153</f>
        <v>Electric Fund Net Position Statement</v>
      </c>
      <c r="C136" s="340" t="str">
        <f>'Unit Data from Audit Worksheet'!D153</f>
        <v>Electric Fund - Advance To:
Interfund loan receivable-portion of repayment plan longer than 12 months</v>
      </c>
      <c r="D136" s="142"/>
      <c r="E136" s="361">
        <f>'Unit Data from Audit Worksheet'!F153</f>
        <v>0</v>
      </c>
      <c r="F136" s="354"/>
      <c r="G136" s="356"/>
      <c r="H136" s="353"/>
      <c r="I136" s="38"/>
      <c r="J136" s="352">
        <v>581</v>
      </c>
      <c r="K136" s="351" t="s">
        <v>359</v>
      </c>
      <c r="L136" s="589">
        <f t="shared" si="14"/>
        <v>0</v>
      </c>
      <c r="P136" s="323"/>
      <c r="W136" s="3" t="b">
        <f t="shared" si="15"/>
        <v>1</v>
      </c>
      <c r="X136" s="586">
        <f t="shared" si="12"/>
        <v>0</v>
      </c>
      <c r="Y136" s="586">
        <f t="shared" si="13"/>
        <v>0</v>
      </c>
    </row>
    <row r="137" spans="1:25" ht="56.25" customHeight="1" x14ac:dyDescent="0.25">
      <c r="A137" s="341">
        <f>'Unit Data from Audit Worksheet'!A154</f>
        <v>511</v>
      </c>
      <c r="B137" s="355" t="str">
        <f>'Unit Data from Audit Worksheet'!C154</f>
        <v>Electric Fund Net Position Statement</v>
      </c>
      <c r="C137" s="340" t="str">
        <f>'Unit Data from Audit Worksheet'!D154</f>
        <v>Amount of inventories and prepaids</v>
      </c>
      <c r="D137" s="142"/>
      <c r="E137" s="361">
        <f>'Unit Data from Audit Worksheet'!F154</f>
        <v>0</v>
      </c>
      <c r="F137" s="354">
        <f t="shared" ref="F137:F142" si="16">IF(L137&lt;0,"Error: Number is normally positive.",)</f>
        <v>0</v>
      </c>
      <c r="G137" s="356"/>
      <c r="H137" s="353">
        <f>'Unit Data from Audit Worksheet'!I154</f>
        <v>0</v>
      </c>
      <c r="I137" s="38"/>
      <c r="J137" s="352">
        <v>511</v>
      </c>
      <c r="K137" s="351" t="s">
        <v>225</v>
      </c>
      <c r="L137" s="589">
        <f t="shared" si="14"/>
        <v>0</v>
      </c>
      <c r="P137" s="323"/>
      <c r="W137" s="3" t="b">
        <f t="shared" si="15"/>
        <v>1</v>
      </c>
      <c r="X137" s="586">
        <f t="shared" si="12"/>
        <v>0</v>
      </c>
      <c r="Y137" s="586">
        <f t="shared" si="13"/>
        <v>0</v>
      </c>
    </row>
    <row r="138" spans="1:25" ht="62.25" customHeight="1" x14ac:dyDescent="0.25">
      <c r="A138" s="341">
        <f>'Unit Data from Audit Worksheet'!A155</f>
        <v>657</v>
      </c>
      <c r="B138" s="355" t="str">
        <f>'Unit Data from Audit Worksheet'!C155</f>
        <v>Electric Fund Net Position Statement</v>
      </c>
      <c r="C138" s="340" t="str">
        <f>'Unit Data from Audit Worksheet'!D155</f>
        <v xml:space="preserve">Total Current assets as listed on the Electric Net Position Statement.  
</v>
      </c>
      <c r="D138" s="142"/>
      <c r="E138" s="361">
        <f>'Unit Data from Audit Worksheet'!F155</f>
        <v>0</v>
      </c>
      <c r="F138" s="354">
        <f t="shared" si="16"/>
        <v>0</v>
      </c>
      <c r="G138" s="356"/>
      <c r="H138" s="353">
        <f>'Unit Data from Audit Worksheet'!I155</f>
        <v>0</v>
      </c>
      <c r="I138" s="38"/>
      <c r="J138" s="352">
        <v>657</v>
      </c>
      <c r="K138" s="351" t="s">
        <v>544</v>
      </c>
      <c r="L138" s="603">
        <f>IF(D138="",E138,D138)</f>
        <v>0</v>
      </c>
      <c r="P138" s="323"/>
      <c r="Q138" s="579">
        <f>IF((L134+L135+L137)&gt;L140,1,0)</f>
        <v>0</v>
      </c>
      <c r="W138" s="3" t="b">
        <f t="shared" si="15"/>
        <v>1</v>
      </c>
      <c r="X138" s="586">
        <f t="shared" si="12"/>
        <v>0</v>
      </c>
      <c r="Y138" s="586">
        <f t="shared" si="13"/>
        <v>0</v>
      </c>
    </row>
    <row r="139" spans="1:25" ht="62.25" customHeight="1" x14ac:dyDescent="0.25">
      <c r="A139" s="341">
        <f>'Unit Data from Audit Worksheet'!A156</f>
        <v>658</v>
      </c>
      <c r="B139" s="355" t="str">
        <f>'Unit Data from Audit Worksheet'!C156</f>
        <v>Electric Fund Net Position Statement</v>
      </c>
      <c r="C139" s="340" t="str">
        <f>'Unit Data from Audit Worksheet'!D156</f>
        <v>Electric-Any current assets that are restricted (Cash, Accounts Rec., etc..) and included in account 657 above</v>
      </c>
      <c r="D139" s="142"/>
      <c r="E139" s="361">
        <f>'Unit Data from Audit Worksheet'!F156</f>
        <v>0</v>
      </c>
      <c r="F139" s="354">
        <f t="shared" si="16"/>
        <v>0</v>
      </c>
      <c r="G139" s="356"/>
      <c r="H139" s="353"/>
      <c r="I139" s="38"/>
      <c r="J139" s="352">
        <v>658</v>
      </c>
      <c r="K139" s="351" t="s">
        <v>584</v>
      </c>
      <c r="L139" s="603">
        <f>IF(D139="",E139,D139)</f>
        <v>0</v>
      </c>
      <c r="P139" s="323"/>
      <c r="W139" s="3" t="b">
        <f t="shared" si="15"/>
        <v>1</v>
      </c>
      <c r="X139" s="586">
        <f t="shared" si="12"/>
        <v>0</v>
      </c>
      <c r="Y139" s="586">
        <f t="shared" si="13"/>
        <v>0</v>
      </c>
    </row>
    <row r="140" spans="1:25" ht="39.75" customHeight="1" x14ac:dyDescent="0.25">
      <c r="A140" s="341">
        <f>'Unit Data from Audit Worksheet'!A157</f>
        <v>382</v>
      </c>
      <c r="B140" s="355" t="str">
        <f>'Unit Data from Audit Worksheet'!C157</f>
        <v>Electric Fund Net Position Statement</v>
      </c>
      <c r="C140" s="340" t="str">
        <f>'Unit Data from Audit Worksheet'!D157</f>
        <v>Total Assets and deferred outflows</v>
      </c>
      <c r="D140" s="142"/>
      <c r="E140" s="361">
        <f>'Unit Data from Audit Worksheet'!F157</f>
        <v>0</v>
      </c>
      <c r="F140" s="354">
        <f t="shared" si="16"/>
        <v>0</v>
      </c>
      <c r="G140" s="356"/>
      <c r="H140" s="353">
        <f>'Unit Data from Audit Worksheet'!I157</f>
        <v>0</v>
      </c>
      <c r="I140" s="38"/>
      <c r="J140" s="352">
        <v>382</v>
      </c>
      <c r="K140" s="351" t="s">
        <v>114</v>
      </c>
      <c r="L140" s="589">
        <f>IF(D140="",E140,D140)</f>
        <v>0</v>
      </c>
      <c r="P140" s="323"/>
      <c r="W140" s="3" t="b">
        <f t="shared" si="15"/>
        <v>1</v>
      </c>
      <c r="X140" s="586">
        <f t="shared" si="12"/>
        <v>0</v>
      </c>
      <c r="Y140" s="586">
        <f t="shared" si="13"/>
        <v>0</v>
      </c>
    </row>
    <row r="141" spans="1:25" ht="39.75" customHeight="1" x14ac:dyDescent="0.25">
      <c r="A141" s="341">
        <f>'Unit Data from Audit Worksheet'!A158</f>
        <v>360</v>
      </c>
      <c r="B141" s="355" t="str">
        <f>'Unit Data from Audit Worksheet'!C158</f>
        <v>Electric Fund Net Position Statement</v>
      </c>
      <c r="C141" s="340" t="str">
        <f>'Unit Data from Audit Worksheet'!D158</f>
        <v>Total liabilities and total deferred inflows</v>
      </c>
      <c r="D141" s="142"/>
      <c r="E141" s="361">
        <f>'Unit Data from Audit Worksheet'!F158</f>
        <v>0</v>
      </c>
      <c r="F141" s="354">
        <f t="shared" si="16"/>
        <v>0</v>
      </c>
      <c r="G141" s="356"/>
      <c r="H141" s="353">
        <f>'Unit Data from Audit Worksheet'!I158</f>
        <v>0</v>
      </c>
      <c r="I141" s="38"/>
      <c r="J141" s="352">
        <v>360</v>
      </c>
      <c r="K141" s="109" t="s">
        <v>125</v>
      </c>
      <c r="L141" s="589">
        <f>IF(D141="",E141,D141)</f>
        <v>0</v>
      </c>
      <c r="P141" s="323"/>
      <c r="W141" s="3" t="b">
        <f t="shared" si="15"/>
        <v>1</v>
      </c>
      <c r="X141" s="586">
        <f t="shared" si="12"/>
        <v>0</v>
      </c>
      <c r="Y141" s="586">
        <f t="shared" si="13"/>
        <v>0</v>
      </c>
    </row>
    <row r="142" spans="1:25" ht="58.5" customHeight="1" x14ac:dyDescent="0.25">
      <c r="A142" s="341">
        <f>'Unit Data from Audit Worksheet'!A159</f>
        <v>580</v>
      </c>
      <c r="B142" s="355" t="str">
        <f>'Unit Data from Audit Worksheet'!C159</f>
        <v>Electric Fund Net Position Statement</v>
      </c>
      <c r="C142" s="340" t="str">
        <f>'Unit Data from Audit Worksheet'!D159</f>
        <v>Electric Fund - Advance From:
Interfund loans payable-portion of repayment plan longer than 12 months</v>
      </c>
      <c r="D142" s="142"/>
      <c r="E142" s="361">
        <f>'Unit Data from Audit Worksheet'!F159</f>
        <v>0</v>
      </c>
      <c r="F142" s="354">
        <f t="shared" si="16"/>
        <v>0</v>
      </c>
      <c r="G142" s="356"/>
      <c r="H142" s="353">
        <f>'Unit Data from Audit Worksheet'!I159</f>
        <v>0</v>
      </c>
      <c r="I142" s="38"/>
      <c r="J142" s="352">
        <v>580</v>
      </c>
      <c r="K142" s="109" t="s">
        <v>360</v>
      </c>
      <c r="L142" s="589">
        <f>IF(D142="",E142,D142)</f>
        <v>0</v>
      </c>
      <c r="N142" s="598"/>
      <c r="P142" s="323"/>
      <c r="W142" s="3" t="b">
        <f t="shared" si="15"/>
        <v>1</v>
      </c>
      <c r="X142" s="586">
        <f t="shared" si="12"/>
        <v>0</v>
      </c>
      <c r="Y142" s="586">
        <f t="shared" si="13"/>
        <v>0</v>
      </c>
    </row>
    <row r="143" spans="1:25" s="18" customFormat="1" ht="104.25" customHeight="1" x14ac:dyDescent="0.25">
      <c r="A143" s="341">
        <f>'Unit Data from Audit Worksheet'!A160</f>
        <v>639</v>
      </c>
      <c r="B143" s="355" t="str">
        <f>'Unit Data from Audit Worksheet'!C160</f>
        <v>Electric Fund Net Position Statement</v>
      </c>
      <c r="C143" s="340"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2"/>
      <c r="E143" s="361">
        <f>'Unit Data from Audit Worksheet'!F160</f>
        <v>0</v>
      </c>
      <c r="F143" s="354" t="str">
        <f>IF(L143&gt;=(L144+L145+L146+L147+L148+L149),"","Account 639 is less than the total sum of accounts 640 through 644 + 384")</f>
        <v/>
      </c>
      <c r="G143" s="356">
        <f>L143-(L144+L145+L146+L147+L148+L149)</f>
        <v>0</v>
      </c>
      <c r="H143" s="353">
        <f>'Unit Data from Audit Worksheet'!I160</f>
        <v>0</v>
      </c>
      <c r="I143" s="38"/>
      <c r="J143" s="352">
        <v>639</v>
      </c>
      <c r="K143" s="351" t="s">
        <v>477</v>
      </c>
      <c r="L143" s="603">
        <f t="shared" ref="L143:L164" si="17">IF(D143="",E143,D143)</f>
        <v>0</v>
      </c>
      <c r="P143" s="323"/>
      <c r="Q143" s="579"/>
      <c r="R143" s="3"/>
      <c r="W143" s="18" t="b">
        <f t="shared" si="15"/>
        <v>1</v>
      </c>
      <c r="X143" s="595">
        <f t="shared" si="12"/>
        <v>0</v>
      </c>
      <c r="Y143" s="595">
        <f t="shared" si="13"/>
        <v>0</v>
      </c>
    </row>
    <row r="144" spans="1:25" s="18" customFormat="1" ht="104.25" customHeight="1" x14ac:dyDescent="0.25">
      <c r="A144" s="341">
        <f>'Unit Data from Audit Worksheet'!A161</f>
        <v>640</v>
      </c>
      <c r="B144" s="355" t="str">
        <f>'Unit Data from Audit Worksheet'!C161</f>
        <v>Electric Fund Net Position Statement</v>
      </c>
      <c r="C144" s="340"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2"/>
      <c r="E144" s="361">
        <f>'Unit Data from Audit Worksheet'!F161</f>
        <v>0</v>
      </c>
      <c r="F144" s="354">
        <f t="shared" ref="F144:F149" si="18">IF(L144&lt;0,"Error: Number is normally positive.",)</f>
        <v>0</v>
      </c>
      <c r="G144" s="356"/>
      <c r="H144" s="353">
        <f>'Unit Data from Audit Worksheet'!I161</f>
        <v>0</v>
      </c>
      <c r="I144" s="38"/>
      <c r="J144" s="352">
        <v>640</v>
      </c>
      <c r="K144" s="351" t="s">
        <v>478</v>
      </c>
      <c r="L144" s="603">
        <f t="shared" si="17"/>
        <v>0</v>
      </c>
      <c r="P144" s="323"/>
      <c r="Q144" s="579"/>
      <c r="R144" s="3"/>
      <c r="W144" s="18" t="b">
        <f t="shared" si="15"/>
        <v>1</v>
      </c>
      <c r="X144" s="595">
        <f t="shared" si="12"/>
        <v>0</v>
      </c>
      <c r="Y144" s="595">
        <f t="shared" si="13"/>
        <v>0</v>
      </c>
    </row>
    <row r="145" spans="1:25" s="18" customFormat="1" ht="104.25" customHeight="1" x14ac:dyDescent="0.25">
      <c r="A145" s="341">
        <f>'Unit Data from Audit Worksheet'!A162</f>
        <v>641</v>
      </c>
      <c r="B145" s="355" t="str">
        <f>'Unit Data from Audit Worksheet'!C162</f>
        <v>Electric Fund Net Position Statement</v>
      </c>
      <c r="C145" s="340"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2"/>
      <c r="E145" s="361">
        <f>'Unit Data from Audit Worksheet'!F162</f>
        <v>0</v>
      </c>
      <c r="F145" s="354">
        <f t="shared" si="18"/>
        <v>0</v>
      </c>
      <c r="G145" s="356"/>
      <c r="H145" s="353">
        <f>'Unit Data from Audit Worksheet'!I162</f>
        <v>0</v>
      </c>
      <c r="I145" s="38"/>
      <c r="J145" s="352">
        <v>641</v>
      </c>
      <c r="K145" s="351" t="s">
        <v>479</v>
      </c>
      <c r="L145" s="603">
        <f t="shared" si="17"/>
        <v>0</v>
      </c>
      <c r="P145" s="323"/>
      <c r="Q145" s="579"/>
      <c r="R145" s="3"/>
      <c r="W145" s="18" t="b">
        <f t="shared" si="15"/>
        <v>1</v>
      </c>
      <c r="X145" s="595">
        <f t="shared" si="12"/>
        <v>0</v>
      </c>
      <c r="Y145" s="595">
        <f t="shared" si="13"/>
        <v>0</v>
      </c>
    </row>
    <row r="146" spans="1:25" s="18" customFormat="1" ht="104.25" customHeight="1" x14ac:dyDescent="0.25">
      <c r="A146" s="341">
        <f>'Unit Data from Audit Worksheet'!A163</f>
        <v>642</v>
      </c>
      <c r="B146" s="355" t="str">
        <f>'Unit Data from Audit Worksheet'!C163</f>
        <v>Electric Fund Net Position Statement</v>
      </c>
      <c r="C146" s="340"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2"/>
      <c r="E146" s="361">
        <f>'Unit Data from Audit Worksheet'!F163</f>
        <v>0</v>
      </c>
      <c r="F146" s="354">
        <f t="shared" si="18"/>
        <v>0</v>
      </c>
      <c r="G146" s="356"/>
      <c r="H146" s="353">
        <f>'Unit Data from Audit Worksheet'!I163</f>
        <v>0</v>
      </c>
      <c r="I146" s="38"/>
      <c r="J146" s="352">
        <v>642</v>
      </c>
      <c r="K146" s="351" t="s">
        <v>480</v>
      </c>
      <c r="L146" s="603">
        <f t="shared" si="17"/>
        <v>0</v>
      </c>
      <c r="P146" s="323"/>
      <c r="Q146" s="579"/>
      <c r="R146" s="3"/>
      <c r="W146" s="18" t="b">
        <f t="shared" si="15"/>
        <v>1</v>
      </c>
      <c r="X146" s="595">
        <f t="shared" si="12"/>
        <v>0</v>
      </c>
      <c r="Y146" s="595">
        <f t="shared" si="13"/>
        <v>0</v>
      </c>
    </row>
    <row r="147" spans="1:25" s="18" customFormat="1" ht="60.75" customHeight="1" x14ac:dyDescent="0.25">
      <c r="A147" s="341">
        <f>'Unit Data from Audit Worksheet'!A164</f>
        <v>643</v>
      </c>
      <c r="B147" s="355" t="str">
        <f>'Unit Data from Audit Worksheet'!C164</f>
        <v>Electric Fund Net Position Statement</v>
      </c>
      <c r="C147" s="340" t="str">
        <f>'Unit Data from Audit Worksheet'!D164</f>
        <v>Please enter any current liabilities that are payable from restricted assets and included in account 639 above. 
Enter as a positive</v>
      </c>
      <c r="D147" s="142"/>
      <c r="E147" s="361">
        <f>'Unit Data from Audit Worksheet'!F164</f>
        <v>0</v>
      </c>
      <c r="F147" s="354">
        <f t="shared" si="18"/>
        <v>0</v>
      </c>
      <c r="G147" s="356"/>
      <c r="H147" s="353">
        <f>'Unit Data from Audit Worksheet'!I164</f>
        <v>0</v>
      </c>
      <c r="I147" s="38"/>
      <c r="J147" s="352">
        <v>643</v>
      </c>
      <c r="K147" s="351" t="s">
        <v>481</v>
      </c>
      <c r="L147" s="603">
        <f t="shared" si="17"/>
        <v>0</v>
      </c>
      <c r="P147" s="323"/>
      <c r="Q147" s="579"/>
      <c r="R147" s="3"/>
      <c r="W147" s="18" t="b">
        <f t="shared" si="15"/>
        <v>1</v>
      </c>
      <c r="X147" s="595">
        <f t="shared" si="12"/>
        <v>0</v>
      </c>
      <c r="Y147" s="595">
        <f t="shared" si="13"/>
        <v>0</v>
      </c>
    </row>
    <row r="148" spans="1:25" s="18" customFormat="1" ht="102" customHeight="1" x14ac:dyDescent="0.25">
      <c r="A148" s="341">
        <f>'Unit Data from Audit Worksheet'!A165</f>
        <v>644</v>
      </c>
      <c r="B148" s="355" t="str">
        <f>'Unit Data from Audit Worksheet'!C165</f>
        <v>Electric Fund Net Position Statement</v>
      </c>
      <c r="C148" s="340"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2"/>
      <c r="E148" s="361">
        <f>'Unit Data from Audit Worksheet'!F165</f>
        <v>0</v>
      </c>
      <c r="F148" s="354">
        <f t="shared" si="18"/>
        <v>0</v>
      </c>
      <c r="G148" s="356"/>
      <c r="H148" s="353">
        <f>'Unit Data from Audit Worksheet'!I165</f>
        <v>0</v>
      </c>
      <c r="I148" s="38"/>
      <c r="J148" s="276">
        <v>644</v>
      </c>
      <c r="K148" s="351" t="s">
        <v>482</v>
      </c>
      <c r="L148" s="603">
        <f t="shared" si="17"/>
        <v>0</v>
      </c>
      <c r="P148" s="326"/>
      <c r="Q148" s="579"/>
      <c r="R148" s="3"/>
      <c r="W148" s="18" t="b">
        <f t="shared" si="15"/>
        <v>1</v>
      </c>
      <c r="X148" s="595">
        <f t="shared" si="12"/>
        <v>0</v>
      </c>
      <c r="Y148" s="595">
        <f t="shared" si="13"/>
        <v>0</v>
      </c>
    </row>
    <row r="149" spans="1:25" ht="63.75" customHeight="1" x14ac:dyDescent="0.25">
      <c r="A149" s="341">
        <f>+'Unit Data from Audit Worksheet'!A166</f>
        <v>384</v>
      </c>
      <c r="B149" s="341" t="str">
        <f>+'Unit Data from Audit Worksheet'!C166</f>
        <v>Electric Fund Net Position Statement</v>
      </c>
      <c r="C149" s="341" t="str">
        <f>+'Unit Data from Audit Worksheet'!D166</f>
        <v>Unearned revenue (arising from cash receipts) that were included in Current Liabilities in account 639 above.
Enter as a positive</v>
      </c>
      <c r="D149" s="142"/>
      <c r="E149" s="361">
        <f>+'Unit Data from Audit Worksheet'!F166</f>
        <v>0</v>
      </c>
      <c r="F149" s="354">
        <f t="shared" si="18"/>
        <v>0</v>
      </c>
      <c r="G149" s="356"/>
      <c r="H149" s="353">
        <f>'Unit Data from Audit Worksheet'!I166</f>
        <v>0</v>
      </c>
      <c r="I149" s="38"/>
      <c r="J149" s="352">
        <v>384</v>
      </c>
      <c r="K149" s="58" t="s">
        <v>124</v>
      </c>
      <c r="L149" s="589">
        <f t="shared" si="17"/>
        <v>0</v>
      </c>
      <c r="P149" s="323"/>
      <c r="W149" s="3" t="b">
        <f t="shared" si="15"/>
        <v>1</v>
      </c>
      <c r="X149" s="586">
        <f t="shared" si="12"/>
        <v>0</v>
      </c>
      <c r="Y149" s="586">
        <f t="shared" si="13"/>
        <v>0</v>
      </c>
    </row>
    <row r="150" spans="1:25" ht="105" x14ac:dyDescent="0.25">
      <c r="A150" s="341">
        <f>+'Unit Data from Audit Worksheet'!A167</f>
        <v>361</v>
      </c>
      <c r="B150" s="341" t="str">
        <f>+'Unit Data from Audit Worksheet'!C167</f>
        <v>Electric Fund Net Position Statement</v>
      </c>
      <c r="C150" s="341" t="str">
        <f>+'Unit Data from Audit Worksheet'!D167</f>
        <v>Total net position, unrestricted - Amount of negative unrestricted net position should be entered as a negative amount and the amount of positive unrestricted net position should be entered as a positive amount.</v>
      </c>
      <c r="D150" s="142"/>
      <c r="E150" s="361">
        <f>+'Unit Data from Audit Worksheet'!F167</f>
        <v>0</v>
      </c>
      <c r="F150" s="354"/>
      <c r="G150" s="356"/>
      <c r="H150" s="353">
        <f>'Unit Data from Audit Worksheet'!I167</f>
        <v>0</v>
      </c>
      <c r="I150" s="38"/>
      <c r="J150" s="352">
        <v>361</v>
      </c>
      <c r="K150" s="351" t="s">
        <v>106</v>
      </c>
      <c r="L150" s="589">
        <f t="shared" si="17"/>
        <v>0</v>
      </c>
      <c r="P150" s="323"/>
      <c r="W150" s="3" t="b">
        <f t="shared" si="15"/>
        <v>1</v>
      </c>
      <c r="X150" s="586">
        <f t="shared" si="12"/>
        <v>0</v>
      </c>
      <c r="Y150" s="586">
        <f t="shared" si="13"/>
        <v>0</v>
      </c>
    </row>
    <row r="151" spans="1:25" ht="46.5" customHeight="1" x14ac:dyDescent="0.25">
      <c r="A151" s="341">
        <f>'Unit Data from Audit Worksheet'!A168</f>
        <v>362</v>
      </c>
      <c r="B151" s="355" t="str">
        <f>'Unit Data from Audit Worksheet'!C168</f>
        <v>Electric Fund Net Position Statement</v>
      </c>
      <c r="C151" s="340" t="str">
        <f>'Unit Data from Audit Worksheet'!D168</f>
        <v>Total net position</v>
      </c>
      <c r="D151" s="142"/>
      <c r="E151" s="361">
        <f>'Unit Data from Audit Worksheet'!F168</f>
        <v>0</v>
      </c>
      <c r="F151" s="354">
        <f>IF(L140-L141-L151=0,,"Error: Total assets less total liabilities do not equal net position acct 382-360-362=0")</f>
        <v>0</v>
      </c>
      <c r="G151" s="91">
        <f>+L140-L141-L151</f>
        <v>0</v>
      </c>
      <c r="H151" s="353">
        <f>'Unit Data from Audit Worksheet'!I168</f>
        <v>0</v>
      </c>
      <c r="I151" s="38"/>
      <c r="J151" s="352">
        <v>362</v>
      </c>
      <c r="K151" s="351" t="s">
        <v>107</v>
      </c>
      <c r="L151" s="589">
        <f t="shared" si="17"/>
        <v>0</v>
      </c>
      <c r="O151" s="597" t="e">
        <f>'Unit Data from Audit Worksheet'!E168</f>
        <v>#N/A</v>
      </c>
      <c r="P151" s="323"/>
      <c r="Q151" s="579">
        <f>IF(+L140-L141-L151=0,0,1)</f>
        <v>0</v>
      </c>
      <c r="W151" s="3" t="b">
        <f t="shared" si="15"/>
        <v>1</v>
      </c>
      <c r="X151" s="586">
        <f t="shared" si="12"/>
        <v>0</v>
      </c>
      <c r="Y151" s="586">
        <f t="shared" si="13"/>
        <v>0</v>
      </c>
    </row>
    <row r="152" spans="1:25" ht="61.5" customHeight="1" x14ac:dyDescent="0.25">
      <c r="A152" s="341">
        <f>'Unit Data from Audit Worksheet'!A171</f>
        <v>88</v>
      </c>
      <c r="B152" s="355" t="str">
        <f>'Unit Data from Audit Worksheet'!C171</f>
        <v>Water Sewer Revenue, Expenses &amp; Changes in Fund Net Position</v>
      </c>
      <c r="C152" s="340" t="str">
        <f>'Unit Data from Audit Worksheet'!D171</f>
        <v>Charges for services. 
Exclude tap, capacity fees and other misc. income .</v>
      </c>
      <c r="D152" s="142"/>
      <c r="E152" s="361">
        <f>'Unit Data from Audit Worksheet'!F171</f>
        <v>0</v>
      </c>
      <c r="F152" s="354"/>
      <c r="G152" s="356"/>
      <c r="H152" s="353">
        <f>'Unit Data from Audit Worksheet'!I171</f>
        <v>0</v>
      </c>
      <c r="I152" s="38"/>
      <c r="J152" s="352">
        <v>88</v>
      </c>
      <c r="K152" s="351" t="s">
        <v>226</v>
      </c>
      <c r="L152" s="589">
        <f t="shared" si="17"/>
        <v>0</v>
      </c>
      <c r="P152" s="323"/>
      <c r="Q152" s="357"/>
      <c r="W152" s="3" t="b">
        <f t="shared" si="15"/>
        <v>1</v>
      </c>
      <c r="X152" s="586">
        <f t="shared" si="12"/>
        <v>0</v>
      </c>
      <c r="Y152" s="586">
        <f t="shared" si="13"/>
        <v>0</v>
      </c>
    </row>
    <row r="153" spans="1:25" ht="72" customHeight="1" x14ac:dyDescent="0.25">
      <c r="A153" s="341">
        <f>'Unit Data from Audit Worksheet'!A172</f>
        <v>84</v>
      </c>
      <c r="B153" s="355" t="str">
        <f>'Unit Data from Audit Worksheet'!C172</f>
        <v>Water Sewer Revenue, Expenses &amp; Changes in Fund Net Position</v>
      </c>
      <c r="C153" s="340" t="str">
        <f>'Unit Data from Audit Worksheet'!D172</f>
        <v>Total Operating revenues</v>
      </c>
      <c r="D153" s="142"/>
      <c r="E153" s="361">
        <f>'Unit Data from Audit Worksheet'!F172</f>
        <v>0</v>
      </c>
      <c r="F153" s="354" t="str">
        <f>IF(L152&gt;L153,"Error: Charges for services exceed total operating revenues. Acct # 88&gt;84"," ")</f>
        <v xml:space="preserve"> </v>
      </c>
      <c r="G153" s="356" t="str">
        <f>IF(Q153=1," Included in error count"," ")</f>
        <v xml:space="preserve"> </v>
      </c>
      <c r="H153" s="353">
        <f>'Unit Data from Audit Worksheet'!I172</f>
        <v>0</v>
      </c>
      <c r="I153" s="38"/>
      <c r="J153" s="352">
        <v>84</v>
      </c>
      <c r="K153" s="351" t="s">
        <v>227</v>
      </c>
      <c r="L153" s="589">
        <f t="shared" si="17"/>
        <v>0</v>
      </c>
      <c r="P153" s="323"/>
      <c r="Q153" s="579">
        <f>IF(L152&gt;L153,1,0)</f>
        <v>0</v>
      </c>
      <c r="W153" s="3" t="b">
        <f t="shared" si="15"/>
        <v>1</v>
      </c>
      <c r="X153" s="586">
        <f t="shared" si="12"/>
        <v>0</v>
      </c>
      <c r="Y153" s="586">
        <f t="shared" si="13"/>
        <v>0</v>
      </c>
    </row>
    <row r="154" spans="1:25" ht="72" customHeight="1" x14ac:dyDescent="0.25">
      <c r="A154" s="341">
        <f>'Unit Data from Audit Worksheet'!A173</f>
        <v>49</v>
      </c>
      <c r="B154" s="355" t="str">
        <f>'Unit Data from Audit Worksheet'!C173</f>
        <v>Water Sewer Revenue, Expenses &amp; Changes in Fund Net Position</v>
      </c>
      <c r="C154" s="340" t="str">
        <f>'Unit Data from Audit Worksheet'!D173</f>
        <v>Depreciation and amortization expense</v>
      </c>
      <c r="D154" s="142"/>
      <c r="E154" s="361">
        <f>'Unit Data from Audit Worksheet'!F173</f>
        <v>0</v>
      </c>
      <c r="F154" s="354">
        <f>IF(L154&lt;0,"Error: Number is normally positive.",)</f>
        <v>0</v>
      </c>
      <c r="G154" s="356"/>
      <c r="H154" s="353">
        <f>'Unit Data from Audit Worksheet'!I173</f>
        <v>0</v>
      </c>
      <c r="I154" s="38"/>
      <c r="J154" s="352">
        <v>49</v>
      </c>
      <c r="K154" s="351" t="s">
        <v>228</v>
      </c>
      <c r="L154" s="589">
        <f t="shared" si="17"/>
        <v>0</v>
      </c>
      <c r="O154" s="597"/>
      <c r="P154" s="323"/>
      <c r="W154" s="3" t="b">
        <f t="shared" si="15"/>
        <v>1</v>
      </c>
      <c r="X154" s="586">
        <f t="shared" si="12"/>
        <v>0</v>
      </c>
      <c r="Y154" s="586">
        <f t="shared" si="13"/>
        <v>0</v>
      </c>
    </row>
    <row r="155" spans="1:25" ht="48" customHeight="1" x14ac:dyDescent="0.25">
      <c r="A155" s="341">
        <f>'Unit Data from Audit Worksheet'!A174</f>
        <v>85</v>
      </c>
      <c r="B155" s="355" t="str">
        <f>'Unit Data from Audit Worksheet'!C174</f>
        <v>Water Sewer Revenue, Expenses &amp; Changes in Fund Net Position</v>
      </c>
      <c r="C155" s="340" t="str">
        <f>'Unit Data from Audit Worksheet'!D174</f>
        <v>Total Operating expenses</v>
      </c>
      <c r="D155" s="142"/>
      <c r="E155" s="361">
        <f>'Unit Data from Audit Worksheet'!F174</f>
        <v>0</v>
      </c>
      <c r="F155" s="354"/>
      <c r="G155" s="356"/>
      <c r="H155" s="353">
        <f>'Unit Data from Audit Worksheet'!I174</f>
        <v>0</v>
      </c>
      <c r="I155" s="38"/>
      <c r="J155" s="352">
        <v>85</v>
      </c>
      <c r="K155" s="351" t="s">
        <v>229</v>
      </c>
      <c r="L155" s="589">
        <f t="shared" si="17"/>
        <v>0</v>
      </c>
      <c r="P155" s="323"/>
      <c r="W155" s="3" t="b">
        <f t="shared" si="15"/>
        <v>1</v>
      </c>
      <c r="X155" s="586">
        <f t="shared" si="12"/>
        <v>0</v>
      </c>
      <c r="Y155" s="586">
        <f t="shared" si="13"/>
        <v>0</v>
      </c>
    </row>
    <row r="156" spans="1:25" ht="48" customHeight="1" x14ac:dyDescent="0.25">
      <c r="A156" s="341">
        <f>'Unit Data from Audit Worksheet'!A175</f>
        <v>89</v>
      </c>
      <c r="B156" s="355" t="str">
        <f>'Unit Data from Audit Worksheet'!C175</f>
        <v>Water Sewer Revenue, Expenses &amp; Changes in Fund Net Position</v>
      </c>
      <c r="C156" s="340" t="str">
        <f>'Unit Data from Audit Worksheet'!D175</f>
        <v>Interest expense</v>
      </c>
      <c r="D156" s="142"/>
      <c r="E156" s="361">
        <f>'Unit Data from Audit Worksheet'!F175</f>
        <v>0</v>
      </c>
      <c r="F156" s="354"/>
      <c r="G156" s="356"/>
      <c r="H156" s="353">
        <f>'Unit Data from Audit Worksheet'!I175</f>
        <v>0</v>
      </c>
      <c r="I156" s="38"/>
      <c r="J156" s="352">
        <v>89</v>
      </c>
      <c r="K156" s="351" t="s">
        <v>230</v>
      </c>
      <c r="L156" s="589">
        <f t="shared" si="17"/>
        <v>0</v>
      </c>
      <c r="P156" s="323"/>
      <c r="W156" s="3" t="b">
        <f t="shared" si="15"/>
        <v>1</v>
      </c>
      <c r="X156" s="586">
        <f t="shared" si="12"/>
        <v>0</v>
      </c>
      <c r="Y156" s="586">
        <f t="shared" si="13"/>
        <v>0</v>
      </c>
    </row>
    <row r="157" spans="1:25" ht="48" customHeight="1" x14ac:dyDescent="0.25">
      <c r="A157" s="341">
        <f>'Unit Data from Audit Worksheet'!A176</f>
        <v>350</v>
      </c>
      <c r="B157" s="355" t="str">
        <f>'Unit Data from Audit Worksheet'!C176</f>
        <v>Water Sewer Revenue, Expenses &amp; Changes in Fund Net Position</v>
      </c>
      <c r="C157" s="340" t="str">
        <f>'Unit Data from Audit Worksheet'!D176</f>
        <v>Total all non-operating revenues  
Exclude Capital contributions.</v>
      </c>
      <c r="D157" s="142"/>
      <c r="E157" s="361">
        <f>'Unit Data from Audit Worksheet'!F176</f>
        <v>0</v>
      </c>
      <c r="F157" s="354"/>
      <c r="G157" s="356"/>
      <c r="H157" s="353">
        <f>'Unit Data from Audit Worksheet'!I176</f>
        <v>0</v>
      </c>
      <c r="I157" s="38"/>
      <c r="J157" s="352">
        <v>350</v>
      </c>
      <c r="K157" s="351" t="s">
        <v>231</v>
      </c>
      <c r="L157" s="589">
        <f t="shared" si="17"/>
        <v>0</v>
      </c>
      <c r="P157" s="323"/>
      <c r="W157" s="3" t="b">
        <f t="shared" si="15"/>
        <v>1</v>
      </c>
      <c r="X157" s="586">
        <f t="shared" si="12"/>
        <v>0</v>
      </c>
      <c r="Y157" s="586">
        <f t="shared" si="13"/>
        <v>0</v>
      </c>
    </row>
    <row r="158" spans="1:25" ht="48" customHeight="1" x14ac:dyDescent="0.25">
      <c r="A158" s="341">
        <f>'Unit Data from Audit Worksheet'!A177</f>
        <v>351</v>
      </c>
      <c r="B158" s="355" t="str">
        <f>'Unit Data from Audit Worksheet'!C177</f>
        <v>Water Sewer Revenue, Expenses &amp; Changes in Fund Net Position</v>
      </c>
      <c r="C158" s="340" t="str">
        <f>'Unit Data from Audit Worksheet'!D177</f>
        <v>Total all non-operating expenses.  
Include any negative special, extraordinary, or capital contribution.</v>
      </c>
      <c r="D158" s="142"/>
      <c r="E158" s="361">
        <f>'Unit Data from Audit Worksheet'!F177</f>
        <v>0</v>
      </c>
      <c r="F158" s="354"/>
      <c r="G158" s="356"/>
      <c r="H158" s="353">
        <f>'Unit Data from Audit Worksheet'!I177</f>
        <v>0</v>
      </c>
      <c r="I158" s="38"/>
      <c r="J158" s="352">
        <v>351</v>
      </c>
      <c r="K158" s="351" t="s">
        <v>232</v>
      </c>
      <c r="L158" s="589">
        <f t="shared" si="17"/>
        <v>0</v>
      </c>
      <c r="P158" s="323"/>
      <c r="W158" s="3" t="b">
        <f t="shared" si="15"/>
        <v>1</v>
      </c>
      <c r="X158" s="586">
        <f t="shared" si="12"/>
        <v>0</v>
      </c>
      <c r="Y158" s="586">
        <f t="shared" si="13"/>
        <v>0</v>
      </c>
    </row>
    <row r="159" spans="1:25" ht="75" x14ac:dyDescent="0.25">
      <c r="A159" s="341">
        <f>'Unit Data from Audit Worksheet'!A178</f>
        <v>191</v>
      </c>
      <c r="B159" s="355" t="str">
        <f>'Unit Data from Audit Worksheet'!C178</f>
        <v>Water Sewer Revenue, Expenses &amp; Changes in Fund Net Position</v>
      </c>
      <c r="C159" s="340" t="str">
        <f>'Unit Data from Audit Worksheet'!D178</f>
        <v>Capital contributions. Only include positive capital contributions.  Negative capital contributions should be included with 'Total all non-operating expenses.'</v>
      </c>
      <c r="D159" s="142"/>
      <c r="E159" s="361">
        <f>'Unit Data from Audit Worksheet'!F178</f>
        <v>0</v>
      </c>
      <c r="F159" s="354">
        <f>IF(L159&lt;0,"Error: Enter as a positive.",)</f>
        <v>0</v>
      </c>
      <c r="G159" s="356"/>
      <c r="H159" s="353">
        <f>'Unit Data from Audit Worksheet'!I178</f>
        <v>0</v>
      </c>
      <c r="I159" s="38"/>
      <c r="J159" s="352">
        <v>191</v>
      </c>
      <c r="K159" s="351" t="s">
        <v>233</v>
      </c>
      <c r="L159" s="589">
        <f t="shared" si="17"/>
        <v>0</v>
      </c>
      <c r="P159" s="323"/>
      <c r="W159" s="3" t="b">
        <f t="shared" si="15"/>
        <v>1</v>
      </c>
      <c r="X159" s="586">
        <f t="shared" si="12"/>
        <v>0</v>
      </c>
      <c r="Y159" s="586">
        <f t="shared" si="13"/>
        <v>0</v>
      </c>
    </row>
    <row r="160" spans="1:25" ht="47.25" customHeight="1" x14ac:dyDescent="0.25">
      <c r="A160" s="341">
        <f>'Unit Data from Audit Worksheet'!A179</f>
        <v>352</v>
      </c>
      <c r="B160" s="355" t="str">
        <f>'Unit Data from Audit Worksheet'!C179</f>
        <v>Water Sewer Revenue, Expenses &amp; Changes in Fund Net Position</v>
      </c>
      <c r="C160" s="340" t="str">
        <f>'Unit Data from Audit Worksheet'!D179</f>
        <v>Total Transfers in - all funds (operating and capital)</v>
      </c>
      <c r="D160" s="142"/>
      <c r="E160" s="361">
        <f>'Unit Data from Audit Worksheet'!F179</f>
        <v>0</v>
      </c>
      <c r="F160" s="354"/>
      <c r="G160" s="356"/>
      <c r="H160" s="353">
        <f>'Unit Data from Audit Worksheet'!I179</f>
        <v>0</v>
      </c>
      <c r="I160" s="38"/>
      <c r="J160" s="352">
        <v>352</v>
      </c>
      <c r="K160" s="351" t="s">
        <v>234</v>
      </c>
      <c r="L160" s="589">
        <f t="shared" si="17"/>
        <v>0</v>
      </c>
      <c r="P160" s="323"/>
      <c r="W160" s="3" t="b">
        <f t="shared" si="15"/>
        <v>1</v>
      </c>
      <c r="X160" s="586">
        <f t="shared" si="12"/>
        <v>0</v>
      </c>
      <c r="Y160" s="586">
        <f t="shared" si="13"/>
        <v>0</v>
      </c>
    </row>
    <row r="161" spans="1:25" ht="70.5" customHeight="1" x14ac:dyDescent="0.25">
      <c r="A161" s="605">
        <f>'Unit Data from Audit Worksheet'!A180</f>
        <v>986</v>
      </c>
      <c r="B161" s="359" t="str">
        <f>'Unit Data from Audit Worksheet'!C180</f>
        <v>Water Sewer Revenue, Expenses &amp; Changes in Fund Net Position</v>
      </c>
      <c r="C161" s="606" t="str">
        <f>'Unit Data from Audit Worksheet'!D180</f>
        <v>Of the transfers-in above in acct # 352, list amount of transfers-in that were used to support Water Sewer operations  (exclude capital transfers)</v>
      </c>
      <c r="D161" s="142"/>
      <c r="E161" s="361">
        <f>'Unit Data from Audit Worksheet'!F180</f>
        <v>0</v>
      </c>
      <c r="F161" s="354"/>
      <c r="G161" s="356"/>
      <c r="H161" s="353"/>
      <c r="I161" s="38"/>
      <c r="J161" s="370">
        <v>986</v>
      </c>
      <c r="K161" s="606" t="s">
        <v>806</v>
      </c>
      <c r="L161" s="607">
        <f t="shared" si="17"/>
        <v>0</v>
      </c>
      <c r="P161" s="323"/>
      <c r="W161" s="3" t="b">
        <f t="shared" si="15"/>
        <v>1</v>
      </c>
      <c r="X161" s="586"/>
      <c r="Y161" s="586"/>
    </row>
    <row r="162" spans="1:25" ht="47.25" customHeight="1" x14ac:dyDescent="0.25">
      <c r="A162" s="341">
        <f>'Unit Data from Audit Worksheet'!A181</f>
        <v>353</v>
      </c>
      <c r="B162" s="355" t="str">
        <f>'Unit Data from Audit Worksheet'!C181</f>
        <v>Water Sewer Revenue, Expenses &amp; Changes in Fund Net Position</v>
      </c>
      <c r="C162" s="340" t="str">
        <f>'Unit Data from Audit Worksheet'!D181</f>
        <v>Total Transfers out</v>
      </c>
      <c r="D162" s="142"/>
      <c r="E162" s="361">
        <f>'Unit Data from Audit Worksheet'!F181</f>
        <v>0</v>
      </c>
      <c r="F162" s="354">
        <f>IF(L162&lt;0,"Error: Enter as a positive.",)</f>
        <v>0</v>
      </c>
      <c r="G162" s="356"/>
      <c r="H162" s="353">
        <f>'Unit Data from Audit Worksheet'!I181</f>
        <v>0</v>
      </c>
      <c r="I162" s="38"/>
      <c r="J162" s="40">
        <v>353</v>
      </c>
      <c r="K162" s="351" t="s">
        <v>235</v>
      </c>
      <c r="L162" s="589">
        <f t="shared" si="17"/>
        <v>0</v>
      </c>
      <c r="P162" s="327"/>
      <c r="W162" s="3" t="b">
        <f t="shared" si="15"/>
        <v>1</v>
      </c>
      <c r="X162" s="586">
        <f t="shared" si="12"/>
        <v>0</v>
      </c>
      <c r="Y162" s="586">
        <f t="shared" si="13"/>
        <v>0</v>
      </c>
    </row>
    <row r="163" spans="1:25" ht="72.75" customHeight="1" x14ac:dyDescent="0.25">
      <c r="A163" s="341">
        <f>'Unit Data from Audit Worksheet'!A182</f>
        <v>50</v>
      </c>
      <c r="B163" s="355" t="str">
        <f>'Unit Data from Audit Worksheet'!C182</f>
        <v>Water Sewer Revenue, Expenses &amp; Changes in Fund Net Position</v>
      </c>
      <c r="C163" s="340" t="str">
        <f>'Unit Data from Audit Worksheet'!D182</f>
        <v>Change in net position - Increase in net position is recorded as a positive and a (Decrease) in net position is recorded as a negative.</v>
      </c>
      <c r="D163" s="142"/>
      <c r="E163" s="147">
        <f>'Unit Data from Audit Worksheet'!F182</f>
        <v>0</v>
      </c>
      <c r="F163" s="354">
        <f>IF(L153-L155+L157-L158+L160+L159-L162-L163=0,,"Error:Total revenues less total expenses do not equal total change in net position. Acct # 84-85+350-351+191+352-353-50")</f>
        <v>0</v>
      </c>
      <c r="G163" s="91">
        <f>+L153-L155+L157-L158+L160+L159-L162-L163</f>
        <v>0</v>
      </c>
      <c r="H163" s="353">
        <f>'Unit Data from Audit Worksheet'!I182</f>
        <v>0</v>
      </c>
      <c r="I163" s="38"/>
      <c r="J163" s="352">
        <v>50</v>
      </c>
      <c r="K163" s="351" t="s">
        <v>100</v>
      </c>
      <c r="L163" s="589">
        <f t="shared" si="17"/>
        <v>0</v>
      </c>
      <c r="P163" s="323"/>
      <c r="Q163" s="579">
        <f>IF(G163&lt;&gt;0,1,0)</f>
        <v>0</v>
      </c>
      <c r="W163" s="3" t="b">
        <f t="shared" si="15"/>
        <v>1</v>
      </c>
      <c r="X163" s="586">
        <f t="shared" si="12"/>
        <v>0</v>
      </c>
      <c r="Y163" s="586">
        <f t="shared" si="13"/>
        <v>0</v>
      </c>
    </row>
    <row r="164" spans="1:25" ht="144" customHeight="1" x14ac:dyDescent="0.25">
      <c r="A164" s="341">
        <f>'Unit Data from Audit Worksheet'!A183</f>
        <v>377</v>
      </c>
      <c r="B164" s="355" t="str">
        <f>'Unit Data from Audit Worksheet'!C183</f>
        <v>Water Sewer Revenue, Expenses &amp; Changes in Fund Net Position</v>
      </c>
      <c r="C164" s="340"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2"/>
      <c r="E164" s="147">
        <f>'Unit Data from Audit Worksheet'!F183</f>
        <v>0</v>
      </c>
      <c r="F164" s="87" t="e">
        <f>IF(L133-L163-L164=O133,,"Error:Beginning Balance does not agree with out records.Acct # 83-50-377 = PY83")</f>
        <v>#N/A</v>
      </c>
      <c r="G164" s="91" t="e">
        <f>+L133-L163-L164-O133</f>
        <v>#N/A</v>
      </c>
      <c r="H164" s="353">
        <f>'Unit Data from Audit Worksheet'!I183</f>
        <v>0</v>
      </c>
      <c r="I164" s="38"/>
      <c r="J164" s="352">
        <v>377</v>
      </c>
      <c r="K164" s="351" t="s">
        <v>109</v>
      </c>
      <c r="L164" s="589">
        <f t="shared" si="17"/>
        <v>0</v>
      </c>
      <c r="P164" s="323"/>
      <c r="Q164" s="579" t="e">
        <f>IF(G164&lt;&gt;0,1,0)</f>
        <v>#N/A</v>
      </c>
      <c r="W164" s="3" t="b">
        <f t="shared" si="15"/>
        <v>1</v>
      </c>
      <c r="X164" s="586">
        <f t="shared" si="12"/>
        <v>0</v>
      </c>
      <c r="Y164" s="586">
        <f t="shared" si="13"/>
        <v>0</v>
      </c>
    </row>
    <row r="165" spans="1:25" ht="63" customHeight="1" x14ac:dyDescent="0.25">
      <c r="A165" s="614">
        <f>'Unit Data from Audit Worksheet'!A184</f>
        <v>537</v>
      </c>
      <c r="B165" s="355" t="str">
        <f>'Unit Data from Audit Worksheet'!C184</f>
        <v>Water Sewer Revenue, Expenses &amp; Changes in Fund Net Position</v>
      </c>
      <c r="C165" s="340" t="str">
        <f>'Unit Data from Audit Worksheet'!D184</f>
        <v>Did unit raise Water Sewer rates during the audited fiscal period? - answer Yes or No</v>
      </c>
      <c r="D165" s="139"/>
      <c r="E165" s="361">
        <f>'Unit Data from Audit Worksheet'!F184</f>
        <v>0</v>
      </c>
      <c r="F165" s="354" t="s">
        <v>350</v>
      </c>
      <c r="G165" s="356"/>
      <c r="H165" s="353">
        <f>'Unit Data from Audit Worksheet'!I184</f>
        <v>0</v>
      </c>
      <c r="I165" s="38"/>
      <c r="J165" s="67">
        <v>537</v>
      </c>
      <c r="K165" s="65" t="s">
        <v>295</v>
      </c>
      <c r="L165" s="615">
        <f>IF(E165="Yes",1,IF(E165="No",2,0))</f>
        <v>0</v>
      </c>
      <c r="N165" s="61" t="s">
        <v>340</v>
      </c>
      <c r="P165" s="328"/>
      <c r="W165" s="3" t="b">
        <f t="shared" ref="W165:W196" si="19">EXACT(A165,J165)</f>
        <v>1</v>
      </c>
      <c r="X165" s="586">
        <f t="shared" si="12"/>
        <v>0</v>
      </c>
      <c r="Y165" s="586">
        <f t="shared" si="13"/>
        <v>0</v>
      </c>
    </row>
    <row r="166" spans="1:25" ht="63.75" customHeight="1" x14ac:dyDescent="0.25">
      <c r="A166" s="614">
        <f>'Unit Data from Audit Worksheet'!A185</f>
        <v>538</v>
      </c>
      <c r="B166" s="355" t="str">
        <f>'Unit Data from Audit Worksheet'!C185</f>
        <v>Water Sewer Revenue, Expenses &amp; Changes in Fund Net Position</v>
      </c>
      <c r="C166" s="340" t="str">
        <f>'Unit Data from Audit Worksheet'!D185</f>
        <v>Did unit raise Water Sewer rates during the budget year following the audited fiscal year? - answer Yes or No</v>
      </c>
      <c r="D166" s="139"/>
      <c r="E166" s="361">
        <f>'Unit Data from Audit Worksheet'!F185</f>
        <v>0</v>
      </c>
      <c r="F166" s="354" t="s">
        <v>350</v>
      </c>
      <c r="G166" s="356"/>
      <c r="H166" s="353">
        <f>'Unit Data from Audit Worksheet'!I185</f>
        <v>0</v>
      </c>
      <c r="I166" s="38"/>
      <c r="J166" s="67">
        <v>538</v>
      </c>
      <c r="K166" s="65" t="s">
        <v>294</v>
      </c>
      <c r="L166" s="615">
        <f>IF(E166="Yes",1,IF(E166="No",2,0))</f>
        <v>0</v>
      </c>
      <c r="N166" s="61" t="s">
        <v>340</v>
      </c>
      <c r="P166" s="328"/>
      <c r="W166" s="3" t="b">
        <f t="shared" si="19"/>
        <v>1</v>
      </c>
      <c r="X166" s="586">
        <f t="shared" si="12"/>
        <v>0</v>
      </c>
      <c r="Y166" s="586">
        <f t="shared" si="13"/>
        <v>0</v>
      </c>
    </row>
    <row r="167" spans="1:25" ht="47.25" customHeight="1" x14ac:dyDescent="0.25">
      <c r="A167" s="341">
        <f>'Unit Data from Audit Worksheet'!A187</f>
        <v>97</v>
      </c>
      <c r="B167" s="355" t="str">
        <f>'Unit Data from Audit Worksheet'!C187</f>
        <v>Electric Fund Revenue, Expenses &amp; Changes in Fund Net Position</v>
      </c>
      <c r="C167" s="340" t="str">
        <f>'Unit Data from Audit Worksheet'!D187</f>
        <v>Charges for services</v>
      </c>
      <c r="D167" s="360"/>
      <c r="E167" s="361">
        <f>'Unit Data from Audit Worksheet'!F187</f>
        <v>0</v>
      </c>
      <c r="F167" s="354">
        <f>IF(L167&lt;0,"Error: Enter as a positive.",)</f>
        <v>0</v>
      </c>
      <c r="G167" s="356"/>
      <c r="H167" s="353">
        <f>'Unit Data from Audit Worksheet'!I187</f>
        <v>0</v>
      </c>
      <c r="I167" s="38"/>
      <c r="J167" s="352">
        <v>97</v>
      </c>
      <c r="K167" s="351" t="s">
        <v>236</v>
      </c>
      <c r="L167" s="589">
        <f t="shared" ref="L167:L234" si="20">IF(D167="",E167,D167)</f>
        <v>0</v>
      </c>
      <c r="P167" s="323"/>
      <c r="W167" s="3" t="b">
        <f t="shared" si="19"/>
        <v>1</v>
      </c>
      <c r="X167" s="586">
        <f t="shared" si="12"/>
        <v>0</v>
      </c>
      <c r="Y167" s="586">
        <f t="shared" si="13"/>
        <v>0</v>
      </c>
    </row>
    <row r="168" spans="1:25" ht="45.75" customHeight="1" x14ac:dyDescent="0.25">
      <c r="A168" s="341">
        <f>'Unit Data from Audit Worksheet'!A188</f>
        <v>93</v>
      </c>
      <c r="B168" s="355" t="str">
        <f>'Unit Data from Audit Worksheet'!C188</f>
        <v>Electric Fund Revenue, Expenses &amp; Changes in Fund Net Position</v>
      </c>
      <c r="C168" s="340" t="str">
        <f>'Unit Data from Audit Worksheet'!D188</f>
        <v>Total Operating revenues</v>
      </c>
      <c r="D168" s="360"/>
      <c r="E168" s="361">
        <f>'Unit Data from Audit Worksheet'!F188</f>
        <v>0</v>
      </c>
      <c r="F168" s="354" t="str">
        <f>IF(L167&gt;L168,"Error: Charges for services exceeds total operating revenues Acct 97&gt;=93"," ")</f>
        <v xml:space="preserve"> </v>
      </c>
      <c r="G168" s="356" t="str">
        <f>IF(Q168=1," Included in error count"," ")</f>
        <v xml:space="preserve"> </v>
      </c>
      <c r="H168" s="353">
        <f>'Unit Data from Audit Worksheet'!I188</f>
        <v>0</v>
      </c>
      <c r="I168" s="38"/>
      <c r="J168" s="352">
        <v>93</v>
      </c>
      <c r="K168" s="351" t="s">
        <v>237</v>
      </c>
      <c r="L168" s="589">
        <f t="shared" si="20"/>
        <v>0</v>
      </c>
      <c r="P168" s="323"/>
      <c r="Q168" s="579">
        <f>IF(L167&gt;L168,1,0)</f>
        <v>0</v>
      </c>
      <c r="W168" s="3" t="b">
        <f t="shared" si="19"/>
        <v>1</v>
      </c>
      <c r="X168" s="586">
        <f t="shared" si="12"/>
        <v>0</v>
      </c>
      <c r="Y168" s="586">
        <f t="shared" si="13"/>
        <v>0</v>
      </c>
    </row>
    <row r="169" spans="1:25" ht="45.75" customHeight="1" x14ac:dyDescent="0.25">
      <c r="A169" s="341">
        <f>'Unit Data from Audit Worksheet'!A189</f>
        <v>99</v>
      </c>
      <c r="B169" s="355" t="str">
        <f>'Unit Data from Audit Worksheet'!C189</f>
        <v>Electric Fund Revenue, Expenses &amp; Changes in Fund Net Position</v>
      </c>
      <c r="C169" s="340" t="str">
        <f>'Unit Data from Audit Worksheet'!D189</f>
        <v>Electrical power purchases</v>
      </c>
      <c r="D169" s="360"/>
      <c r="E169" s="361">
        <f>'Unit Data from Audit Worksheet'!F189</f>
        <v>0</v>
      </c>
      <c r="F169" s="354">
        <f>IF(L169&lt;0,"Error: Enter as a positive.",)</f>
        <v>0</v>
      </c>
      <c r="G169" s="356"/>
      <c r="H169" s="353">
        <f>'Unit Data from Audit Worksheet'!I189</f>
        <v>0</v>
      </c>
      <c r="I169" s="38"/>
      <c r="J169" s="352">
        <v>99</v>
      </c>
      <c r="K169" s="351" t="s">
        <v>238</v>
      </c>
      <c r="L169" s="589">
        <f t="shared" si="20"/>
        <v>0</v>
      </c>
      <c r="P169" s="323"/>
      <c r="W169" s="3" t="b">
        <f t="shared" si="19"/>
        <v>1</v>
      </c>
      <c r="X169" s="586">
        <f t="shared" si="12"/>
        <v>0</v>
      </c>
      <c r="Y169" s="586">
        <f t="shared" si="13"/>
        <v>0</v>
      </c>
    </row>
    <row r="170" spans="1:25" ht="45.75" customHeight="1" x14ac:dyDescent="0.25">
      <c r="A170" s="341">
        <f>'Unit Data from Audit Worksheet'!A190</f>
        <v>52</v>
      </c>
      <c r="B170" s="355" t="str">
        <f>'Unit Data from Audit Worksheet'!C190</f>
        <v>Electric Fund Revenue, Expenses &amp; Changes in Fund Net Position</v>
      </c>
      <c r="C170" s="340" t="str">
        <f>'Unit Data from Audit Worksheet'!D190</f>
        <v>Depreciation and amortization expense</v>
      </c>
      <c r="D170" s="360"/>
      <c r="E170" s="361">
        <f>'Unit Data from Audit Worksheet'!F190</f>
        <v>0</v>
      </c>
      <c r="F170" s="354">
        <f>IF(L170&lt;0,"Error: Enter as a positive.",)</f>
        <v>0</v>
      </c>
      <c r="G170" s="356"/>
      <c r="H170" s="353">
        <f>'Unit Data from Audit Worksheet'!I190</f>
        <v>0</v>
      </c>
      <c r="I170" s="38"/>
      <c r="J170" s="352">
        <v>52</v>
      </c>
      <c r="K170" s="351" t="s">
        <v>239</v>
      </c>
      <c r="L170" s="589">
        <f t="shared" si="20"/>
        <v>0</v>
      </c>
      <c r="P170" s="323"/>
      <c r="W170" s="3" t="b">
        <f t="shared" si="19"/>
        <v>1</v>
      </c>
      <c r="X170" s="586">
        <f t="shared" si="12"/>
        <v>0</v>
      </c>
      <c r="Y170" s="586">
        <f t="shared" si="13"/>
        <v>0</v>
      </c>
    </row>
    <row r="171" spans="1:25" ht="45.75" customHeight="1" x14ac:dyDescent="0.25">
      <c r="A171" s="341">
        <f>'Unit Data from Audit Worksheet'!A191</f>
        <v>94</v>
      </c>
      <c r="B171" s="355" t="str">
        <f>'Unit Data from Audit Worksheet'!C191</f>
        <v>Electric Fund Revenue, Expenses &amp; Changes in Fund Net Position</v>
      </c>
      <c r="C171" s="340" t="str">
        <f>'Unit Data from Audit Worksheet'!D191</f>
        <v>Total Operating expenses</v>
      </c>
      <c r="D171" s="360"/>
      <c r="E171" s="361">
        <f>'Unit Data from Audit Worksheet'!F191</f>
        <v>0</v>
      </c>
      <c r="F171" s="354">
        <f>IF(L171&lt;0,"Error: Enter as a positive.",)</f>
        <v>0</v>
      </c>
      <c r="G171" s="356"/>
      <c r="H171" s="353">
        <f>'Unit Data from Audit Worksheet'!I191</f>
        <v>0</v>
      </c>
      <c r="I171" s="38"/>
      <c r="J171" s="352">
        <v>94</v>
      </c>
      <c r="K171" s="351" t="s">
        <v>240</v>
      </c>
      <c r="L171" s="589">
        <f t="shared" si="20"/>
        <v>0</v>
      </c>
      <c r="P171" s="323"/>
      <c r="W171" s="3" t="b">
        <f t="shared" si="19"/>
        <v>1</v>
      </c>
      <c r="X171" s="586">
        <f t="shared" si="12"/>
        <v>0</v>
      </c>
      <c r="Y171" s="586">
        <f t="shared" si="13"/>
        <v>0</v>
      </c>
    </row>
    <row r="172" spans="1:25" ht="46.5" customHeight="1" x14ac:dyDescent="0.25">
      <c r="A172" s="341">
        <f>'Unit Data from Audit Worksheet'!A192</f>
        <v>98</v>
      </c>
      <c r="B172" s="355" t="str">
        <f>'Unit Data from Audit Worksheet'!C192</f>
        <v>Electric Fund Revenue, Expenses &amp; Changes in Fund Net Position</v>
      </c>
      <c r="C172" s="340" t="str">
        <f>'Unit Data from Audit Worksheet'!D192</f>
        <v>Interest expense</v>
      </c>
      <c r="D172" s="360"/>
      <c r="E172" s="361">
        <f>'Unit Data from Audit Worksheet'!F192</f>
        <v>0</v>
      </c>
      <c r="F172" s="354">
        <f>IF(L172&lt;0,"Error: Enter as a positive.",)</f>
        <v>0</v>
      </c>
      <c r="G172" s="356"/>
      <c r="H172" s="353">
        <f>'Unit Data from Audit Worksheet'!I192</f>
        <v>0</v>
      </c>
      <c r="I172" s="38"/>
      <c r="J172" s="352">
        <v>98</v>
      </c>
      <c r="K172" s="351" t="s">
        <v>241</v>
      </c>
      <c r="L172" s="589">
        <f t="shared" si="20"/>
        <v>0</v>
      </c>
      <c r="P172" s="323"/>
      <c r="W172" s="3" t="b">
        <f t="shared" si="19"/>
        <v>1</v>
      </c>
      <c r="X172" s="586">
        <f t="shared" si="12"/>
        <v>0</v>
      </c>
      <c r="Y172" s="586">
        <f t="shared" si="13"/>
        <v>0</v>
      </c>
    </row>
    <row r="173" spans="1:25" ht="51" customHeight="1" x14ac:dyDescent="0.25">
      <c r="A173" s="341">
        <f>'Unit Data from Audit Worksheet'!A193</f>
        <v>363</v>
      </c>
      <c r="B173" s="355" t="str">
        <f>'Unit Data from Audit Worksheet'!C193</f>
        <v>Electric Fund Revenue, Expenses &amp; Changes in Fund Net Position</v>
      </c>
      <c r="C173" s="340" t="str">
        <f>'Unit Data from Audit Worksheet'!D193</f>
        <v>Total all the non-operating revenues  
Exclude Capital Contributions.</v>
      </c>
      <c r="D173" s="360"/>
      <c r="E173" s="361">
        <f>'Unit Data from Audit Worksheet'!F193</f>
        <v>0</v>
      </c>
      <c r="F173" s="354"/>
      <c r="G173" s="356"/>
      <c r="H173" s="353">
        <f>'Unit Data from Audit Worksheet'!I193</f>
        <v>0</v>
      </c>
      <c r="I173" s="38"/>
      <c r="J173" s="352">
        <v>363</v>
      </c>
      <c r="K173" s="351" t="s">
        <v>242</v>
      </c>
      <c r="L173" s="589">
        <f t="shared" si="20"/>
        <v>0</v>
      </c>
      <c r="P173" s="323"/>
      <c r="W173" s="3" t="b">
        <f t="shared" si="19"/>
        <v>1</v>
      </c>
      <c r="X173" s="586">
        <f t="shared" si="12"/>
        <v>0</v>
      </c>
      <c r="Y173" s="586">
        <f t="shared" si="13"/>
        <v>0</v>
      </c>
    </row>
    <row r="174" spans="1:25" ht="60" customHeight="1" x14ac:dyDescent="0.25">
      <c r="A174" s="341">
        <f>'Unit Data from Audit Worksheet'!A194</f>
        <v>364</v>
      </c>
      <c r="B174" s="355" t="str">
        <f>'Unit Data from Audit Worksheet'!C194</f>
        <v>Electric Fund Revenue, Expenses &amp; Changes in Fund Net Position</v>
      </c>
      <c r="C174" s="340" t="str">
        <f>'Unit Data from Audit Worksheet'!D194</f>
        <v>Total all non-operating expenses.  
Include negative special, extraordinary, or capital contribution.</v>
      </c>
      <c r="D174" s="360"/>
      <c r="E174" s="361">
        <f>'Unit Data from Audit Worksheet'!F194</f>
        <v>0</v>
      </c>
      <c r="F174" s="354">
        <f>IF(L174&lt;0,"Error: Enter as a positive.",)</f>
        <v>0</v>
      </c>
      <c r="G174" s="356"/>
      <c r="H174" s="353">
        <f>'Unit Data from Audit Worksheet'!I194</f>
        <v>0</v>
      </c>
      <c r="I174" s="38"/>
      <c r="J174" s="352">
        <v>364</v>
      </c>
      <c r="K174" s="351" t="s">
        <v>243</v>
      </c>
      <c r="L174" s="589">
        <f t="shared" si="20"/>
        <v>0</v>
      </c>
      <c r="P174" s="323"/>
      <c r="W174" s="3" t="b">
        <f t="shared" si="19"/>
        <v>1</v>
      </c>
      <c r="X174" s="586">
        <f t="shared" si="12"/>
        <v>0</v>
      </c>
      <c r="Y174" s="586">
        <f t="shared" si="13"/>
        <v>0</v>
      </c>
    </row>
    <row r="175" spans="1:25" ht="89.25" customHeight="1" x14ac:dyDescent="0.25">
      <c r="A175" s="341">
        <f>'Unit Data from Audit Worksheet'!A195</f>
        <v>192</v>
      </c>
      <c r="B175" s="355" t="str">
        <f>'Unit Data from Audit Worksheet'!C195</f>
        <v>Electric Fund Revenue, Expenses &amp; Changes in Fund Net Position</v>
      </c>
      <c r="C175" s="340" t="str">
        <f>'Unit Data from Audit Worksheet'!D195</f>
        <v>Capital Contributions.  
Include only positive capital Contributions.  Negative capital contributions should be included with 'Total all non-operating expenses.'</v>
      </c>
      <c r="D175" s="360"/>
      <c r="E175" s="361">
        <f>'Unit Data from Audit Worksheet'!F195</f>
        <v>0</v>
      </c>
      <c r="F175" s="354">
        <f>IF(L175&lt;0,"Error: Enter as a positive.",)</f>
        <v>0</v>
      </c>
      <c r="G175" s="356"/>
      <c r="H175" s="353">
        <f>'Unit Data from Audit Worksheet'!I195</f>
        <v>0</v>
      </c>
      <c r="I175" s="38"/>
      <c r="J175" s="352">
        <v>192</v>
      </c>
      <c r="K175" s="351" t="s">
        <v>244</v>
      </c>
      <c r="L175" s="589">
        <f t="shared" si="20"/>
        <v>0</v>
      </c>
      <c r="P175" s="323"/>
      <c r="W175" s="3" t="b">
        <f t="shared" si="19"/>
        <v>1</v>
      </c>
      <c r="X175" s="586">
        <f t="shared" si="12"/>
        <v>0</v>
      </c>
      <c r="Y175" s="586">
        <f t="shared" si="13"/>
        <v>0</v>
      </c>
    </row>
    <row r="176" spans="1:25" ht="42.75" customHeight="1" x14ac:dyDescent="0.25">
      <c r="A176" s="341">
        <f>'Unit Data from Audit Worksheet'!A196</f>
        <v>365</v>
      </c>
      <c r="B176" s="355" t="str">
        <f>'Unit Data from Audit Worksheet'!C196</f>
        <v>Electric Fund Revenue, Expenses &amp; Changes in Fund Net Position</v>
      </c>
      <c r="C176" s="340" t="str">
        <f>'Unit Data from Audit Worksheet'!D196</f>
        <v>Total Transfers In (From all Funds)</v>
      </c>
      <c r="D176" s="360"/>
      <c r="E176" s="361">
        <f>'Unit Data from Audit Worksheet'!F196</f>
        <v>0</v>
      </c>
      <c r="F176" s="354"/>
      <c r="G176" s="356"/>
      <c r="H176" s="353">
        <f>'Unit Data from Audit Worksheet'!I196</f>
        <v>0</v>
      </c>
      <c r="I176" s="38"/>
      <c r="J176" s="352">
        <v>365</v>
      </c>
      <c r="K176" s="351" t="s">
        <v>245</v>
      </c>
      <c r="L176" s="589">
        <f t="shared" si="20"/>
        <v>0</v>
      </c>
      <c r="P176" s="323"/>
      <c r="W176" s="3" t="b">
        <f t="shared" si="19"/>
        <v>1</v>
      </c>
      <c r="X176" s="586">
        <f t="shared" si="12"/>
        <v>0</v>
      </c>
      <c r="Y176" s="586">
        <f t="shared" si="13"/>
        <v>0</v>
      </c>
    </row>
    <row r="177" spans="1:25" ht="42.75" customHeight="1" x14ac:dyDescent="0.25">
      <c r="A177" s="341">
        <f>'Unit Data from Audit Worksheet'!A197</f>
        <v>366</v>
      </c>
      <c r="B177" s="355" t="str">
        <f>'Unit Data from Audit Worksheet'!C197</f>
        <v>Electric Fund Revenue, Expenses &amp; Changes in Fund Net Position</v>
      </c>
      <c r="C177" s="340" t="str">
        <f>'Unit Data from Audit Worksheet'!D197</f>
        <v>Total Transfers Out (To all funds)</v>
      </c>
      <c r="D177" s="360"/>
      <c r="E177" s="361">
        <f>'Unit Data from Audit Worksheet'!F197</f>
        <v>0</v>
      </c>
      <c r="F177" s="354">
        <f>IF(L177&lt;0,"Error: Enter as a positive.",)</f>
        <v>0</v>
      </c>
      <c r="G177" s="356"/>
      <c r="H177" s="353">
        <f>'Unit Data from Audit Worksheet'!I197</f>
        <v>0</v>
      </c>
      <c r="I177" s="38"/>
      <c r="J177" s="352">
        <v>366</v>
      </c>
      <c r="K177" s="351" t="s">
        <v>330</v>
      </c>
      <c r="L177" s="589">
        <f t="shared" si="20"/>
        <v>0</v>
      </c>
      <c r="P177" s="323"/>
      <c r="W177" s="3" t="b">
        <f t="shared" si="19"/>
        <v>1</v>
      </c>
      <c r="X177" s="586">
        <f t="shared" si="12"/>
        <v>0</v>
      </c>
      <c r="Y177" s="586">
        <f t="shared" si="13"/>
        <v>0</v>
      </c>
    </row>
    <row r="178" spans="1:25" s="18" customFormat="1" ht="76.5" customHeight="1" x14ac:dyDescent="0.25">
      <c r="A178" s="341">
        <f>'Unit Data from Audit Worksheet'!A198</f>
        <v>53</v>
      </c>
      <c r="B178" s="355" t="str">
        <f>'Unit Data from Audit Worksheet'!C198</f>
        <v>Electric Fund Revenue, Expenses &amp; Changes in Fund Net Position</v>
      </c>
      <c r="C178" s="340" t="str">
        <f>'Unit Data from Audit Worksheet'!D198</f>
        <v>Change in net position - Increase in net position is recorded as a positive and a (decrease) in net position is recorded as a negative.</v>
      </c>
      <c r="D178" s="360"/>
      <c r="E178" s="361">
        <f>'Unit Data from Audit Worksheet'!F198</f>
        <v>0</v>
      </c>
      <c r="F178" s="354">
        <f>IF(L168-L171+L173-L174+L175+L176-L177-L178=0,,"Error: Total revenues less total exp. does not equal change in net position Acct 93-94+363-364+192+365-366-53=0")</f>
        <v>0</v>
      </c>
      <c r="G178" s="91">
        <f>+L168-L171+L173-L174+L175+L176-L177-L178</f>
        <v>0</v>
      </c>
      <c r="H178" s="353">
        <f>'Unit Data from Audit Worksheet'!I198</f>
        <v>0</v>
      </c>
      <c r="I178" s="38"/>
      <c r="J178" s="352">
        <v>53</v>
      </c>
      <c r="K178" s="351" t="s">
        <v>101</v>
      </c>
      <c r="L178" s="589">
        <f t="shared" si="20"/>
        <v>0</v>
      </c>
      <c r="P178" s="323"/>
      <c r="Q178" s="579">
        <f>IF(G178&lt;&gt;0,1,0)</f>
        <v>0</v>
      </c>
      <c r="R178" s="3"/>
      <c r="W178" s="3" t="b">
        <f t="shared" si="19"/>
        <v>1</v>
      </c>
      <c r="X178" s="586">
        <f t="shared" si="12"/>
        <v>0</v>
      </c>
      <c r="Y178" s="586">
        <f t="shared" si="13"/>
        <v>0</v>
      </c>
    </row>
    <row r="179" spans="1:25" ht="140.25" customHeight="1" x14ac:dyDescent="0.25">
      <c r="A179" s="341">
        <f>'Unit Data from Audit Worksheet'!A199</f>
        <v>378</v>
      </c>
      <c r="B179" s="355" t="str">
        <f>'Unit Data from Audit Worksheet'!C199</f>
        <v>Electric Fund Revenue, Expenses &amp; Changes in Fund Net Position</v>
      </c>
      <c r="C179" s="340"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60"/>
      <c r="E179" s="361">
        <f>+'Unit Data from Audit Worksheet'!F199</f>
        <v>0</v>
      </c>
      <c r="F179" s="354" t="e">
        <f>IF(L151-L178-L179=O151,,"Error: Beg. Bal does not agree with our records Acct 362-53-378= pr yr 362")</f>
        <v>#N/A</v>
      </c>
      <c r="G179" s="91" t="e">
        <f>L151-L178-L179-O151</f>
        <v>#N/A</v>
      </c>
      <c r="H179" s="353">
        <f>'Unit Data from Audit Worksheet'!I199</f>
        <v>0</v>
      </c>
      <c r="I179" s="38"/>
      <c r="J179" s="352">
        <v>378</v>
      </c>
      <c r="K179" s="351" t="s">
        <v>110</v>
      </c>
      <c r="L179" s="589">
        <f t="shared" si="20"/>
        <v>0</v>
      </c>
      <c r="P179" s="323"/>
      <c r="Q179" s="579" t="e">
        <f>IF(G179&lt;&gt;0,1,0)</f>
        <v>#N/A</v>
      </c>
      <c r="W179" s="3" t="b">
        <f t="shared" si="19"/>
        <v>1</v>
      </c>
      <c r="X179" s="586">
        <f t="shared" si="12"/>
        <v>0</v>
      </c>
      <c r="Y179" s="586">
        <f t="shared" si="13"/>
        <v>0</v>
      </c>
    </row>
    <row r="180" spans="1:25" ht="45" x14ac:dyDescent="0.25">
      <c r="A180" s="341">
        <f>'Unit Data from Audit Worksheet'!A204</f>
        <v>51</v>
      </c>
      <c r="B180" s="355" t="str">
        <f>'Unit Data from Audit Worksheet'!C204</f>
        <v>Water Sewer Cash Flow Statement</v>
      </c>
      <c r="C180" s="340" t="str">
        <f>'Unit Data from Audit Worksheet'!D204</f>
        <v>Total Cash flow from operating activities  - (Enter negative cash flows as negative)</v>
      </c>
      <c r="D180" s="360"/>
      <c r="E180" s="361">
        <f>'Unit Data from Audit Worksheet'!F204</f>
        <v>0</v>
      </c>
      <c r="F180" s="354"/>
      <c r="G180" s="356"/>
      <c r="H180" s="353">
        <f>'Unit Data from Audit Worksheet'!I204</f>
        <v>0</v>
      </c>
      <c r="I180" s="38"/>
      <c r="J180" s="352">
        <v>51</v>
      </c>
      <c r="K180" s="351" t="s">
        <v>246</v>
      </c>
      <c r="L180" s="589">
        <f t="shared" si="20"/>
        <v>0</v>
      </c>
      <c r="P180" s="323"/>
      <c r="W180" s="3" t="b">
        <f t="shared" si="19"/>
        <v>1</v>
      </c>
      <c r="X180" s="586">
        <f t="shared" si="12"/>
        <v>0</v>
      </c>
      <c r="Y180" s="586">
        <f t="shared" si="13"/>
        <v>0</v>
      </c>
    </row>
    <row r="181" spans="1:25" ht="64.5" customHeight="1" x14ac:dyDescent="0.25">
      <c r="A181" s="341">
        <f>'Unit Data from Audit Worksheet'!A205</f>
        <v>332</v>
      </c>
      <c r="B181" s="355" t="str">
        <f>'Unit Data from Audit Worksheet'!C205</f>
        <v>Water Sewer Cash Flow Statement</v>
      </c>
      <c r="C181" s="340" t="str">
        <f>'Unit Data from Audit Worksheet'!D205</f>
        <v>Total Capital outlay. 
Include acquisition and construction of capital assets.</v>
      </c>
      <c r="D181" s="360"/>
      <c r="E181" s="361">
        <f>'Unit Data from Audit Worksheet'!F205</f>
        <v>0</v>
      </c>
      <c r="F181" s="354">
        <f>IF(L181&lt;0,"Error: Enter as a positive.",)</f>
        <v>0</v>
      </c>
      <c r="G181" s="356"/>
      <c r="H181" s="353">
        <f>'Unit Data from Audit Worksheet'!I205</f>
        <v>0</v>
      </c>
      <c r="I181" s="38"/>
      <c r="J181" s="352">
        <v>332</v>
      </c>
      <c r="K181" s="351" t="s">
        <v>248</v>
      </c>
      <c r="L181" s="589">
        <f t="shared" si="20"/>
        <v>0</v>
      </c>
      <c r="O181" s="597"/>
      <c r="P181" s="323"/>
      <c r="W181" s="3" t="b">
        <f t="shared" si="19"/>
        <v>1</v>
      </c>
      <c r="X181" s="586">
        <f t="shared" si="12"/>
        <v>0</v>
      </c>
      <c r="Y181" s="586">
        <f t="shared" si="13"/>
        <v>0</v>
      </c>
    </row>
    <row r="182" spans="1:25" ht="58.5" customHeight="1" x14ac:dyDescent="0.25">
      <c r="A182" s="341">
        <f>'Unit Data from Audit Worksheet'!A206</f>
        <v>331</v>
      </c>
      <c r="B182" s="355" t="str">
        <f>'Unit Data from Audit Worksheet'!C206</f>
        <v>Water Sewer Cash Flow Statement</v>
      </c>
      <c r="C182" s="340" t="str">
        <f>'Unit Data from Audit Worksheet'!D206</f>
        <v>Principal paid on long-term debt.  Amount should be reduced by principal payments for debt refunding.</v>
      </c>
      <c r="D182" s="360"/>
      <c r="E182" s="361">
        <f>'Unit Data from Audit Worksheet'!F206</f>
        <v>0</v>
      </c>
      <c r="F182" s="354">
        <f>IF(L182&lt;0,"Error: Enter as a positive.",)</f>
        <v>0</v>
      </c>
      <c r="G182" s="356"/>
      <c r="H182" s="353">
        <f>'Unit Data from Audit Worksheet'!I206</f>
        <v>0</v>
      </c>
      <c r="I182" s="38"/>
      <c r="J182" s="352">
        <v>331</v>
      </c>
      <c r="K182" s="351" t="s">
        <v>247</v>
      </c>
      <c r="L182" s="589">
        <f t="shared" si="20"/>
        <v>0</v>
      </c>
      <c r="O182" s="597"/>
      <c r="P182" s="323"/>
      <c r="W182" s="3" t="b">
        <f t="shared" si="19"/>
        <v>1</v>
      </c>
      <c r="X182" s="586">
        <f t="shared" ref="X182:X276" si="21">E182-L182</f>
        <v>0</v>
      </c>
      <c r="Y182" s="586">
        <f t="shared" ref="Y182:Y276" si="22">D182-L182</f>
        <v>0</v>
      </c>
    </row>
    <row r="183" spans="1:25" ht="51.75" customHeight="1" x14ac:dyDescent="0.25">
      <c r="A183" s="341">
        <f>'Unit Data from Audit Worksheet'!A208</f>
        <v>55</v>
      </c>
      <c r="B183" s="355" t="str">
        <f>'Unit Data from Audit Worksheet'!C208</f>
        <v>Electric Fund Cash Flow Statement</v>
      </c>
      <c r="C183" s="340" t="str">
        <f>'Unit Data from Audit Worksheet'!D208</f>
        <v>Cash flow from operating activities - (enter negative cash flows as negative)</v>
      </c>
      <c r="D183" s="360"/>
      <c r="E183" s="361">
        <f>'Unit Data from Audit Worksheet'!F208</f>
        <v>0</v>
      </c>
      <c r="F183" s="354"/>
      <c r="G183" s="356"/>
      <c r="H183" s="353">
        <f>'Unit Data from Audit Worksheet'!I208</f>
        <v>0</v>
      </c>
      <c r="I183" s="38"/>
      <c r="J183" s="352">
        <v>55</v>
      </c>
      <c r="K183" s="351" t="s">
        <v>249</v>
      </c>
      <c r="L183" s="589">
        <f t="shared" si="20"/>
        <v>0</v>
      </c>
      <c r="P183" s="323"/>
      <c r="W183" s="3" t="b">
        <f t="shared" si="19"/>
        <v>1</v>
      </c>
      <c r="X183" s="586">
        <f t="shared" si="21"/>
        <v>0</v>
      </c>
      <c r="Y183" s="586">
        <f t="shared" si="22"/>
        <v>0</v>
      </c>
    </row>
    <row r="184" spans="1:25" ht="58.5" customHeight="1" x14ac:dyDescent="0.25">
      <c r="A184" s="341">
        <f>'Unit Data from Audit Worksheet'!A209</f>
        <v>101</v>
      </c>
      <c r="B184" s="355" t="str">
        <f>'Unit Data from Audit Worksheet'!C209</f>
        <v>Electric Fund Cash Flow Statement</v>
      </c>
      <c r="C184" s="340" t="str">
        <f>'Unit Data from Audit Worksheet'!D209</f>
        <v>Total Capital outlay.  
Include acquisition and construction of capital assets.</v>
      </c>
      <c r="D184" s="360"/>
      <c r="E184" s="361">
        <f>'Unit Data from Audit Worksheet'!F209</f>
        <v>0</v>
      </c>
      <c r="F184" s="354">
        <f>IF(L184&lt;0,"Error: Enter as a positive.",)</f>
        <v>0</v>
      </c>
      <c r="G184" s="356"/>
      <c r="H184" s="353">
        <f>'Unit Data from Audit Worksheet'!I209</f>
        <v>0</v>
      </c>
      <c r="I184" s="38"/>
      <c r="J184" s="352">
        <v>101</v>
      </c>
      <c r="K184" s="351" t="s">
        <v>250</v>
      </c>
      <c r="L184" s="589">
        <f t="shared" si="20"/>
        <v>0</v>
      </c>
      <c r="P184" s="323"/>
      <c r="W184" s="3" t="b">
        <f t="shared" si="19"/>
        <v>1</v>
      </c>
      <c r="X184" s="586">
        <f t="shared" si="21"/>
        <v>0</v>
      </c>
      <c r="Y184" s="586">
        <f t="shared" si="22"/>
        <v>0</v>
      </c>
    </row>
    <row r="185" spans="1:25" ht="60.75" customHeight="1" x14ac:dyDescent="0.25">
      <c r="A185" s="341">
        <f>'Unit Data from Audit Worksheet'!A210</f>
        <v>100</v>
      </c>
      <c r="B185" s="355" t="str">
        <f>'Unit Data from Audit Worksheet'!C210</f>
        <v>Electric Fund Cash Flow Statement</v>
      </c>
      <c r="C185" s="340" t="str">
        <f>'Unit Data from Audit Worksheet'!D210</f>
        <v>Principal paid on long-term debt.  Amount should be reduced by principal payments for debt refunding.</v>
      </c>
      <c r="D185" s="360"/>
      <c r="E185" s="361">
        <f>'Unit Data from Audit Worksheet'!F210</f>
        <v>0</v>
      </c>
      <c r="F185" s="354">
        <f>IF(L185&lt;0,"Error: Enter as a positive.",)</f>
        <v>0</v>
      </c>
      <c r="G185" s="356"/>
      <c r="H185" s="353">
        <f>'Unit Data from Audit Worksheet'!I210</f>
        <v>0</v>
      </c>
      <c r="I185" s="38"/>
      <c r="J185" s="352">
        <v>100</v>
      </c>
      <c r="K185" s="351" t="s">
        <v>251</v>
      </c>
      <c r="L185" s="589">
        <f t="shared" si="20"/>
        <v>0</v>
      </c>
      <c r="P185" s="323"/>
      <c r="W185" s="3" t="b">
        <f t="shared" si="19"/>
        <v>1</v>
      </c>
      <c r="X185" s="586">
        <f t="shared" si="21"/>
        <v>0</v>
      </c>
      <c r="Y185" s="586">
        <f t="shared" si="22"/>
        <v>0</v>
      </c>
    </row>
    <row r="186" spans="1:25" ht="71.25" customHeight="1" x14ac:dyDescent="0.25">
      <c r="A186" s="341">
        <f>'Unit Data from Audit Worksheet'!A212</f>
        <v>512</v>
      </c>
      <c r="B186" s="355" t="str">
        <f>'Unit Data from Audit Worksheet'!C212</f>
        <v>Fiduciary Statements</v>
      </c>
      <c r="C186" s="340" t="str">
        <f>'Unit Data from Audit Worksheet'!D212</f>
        <v>Cash and investments.  
Include:  unrestricted and restricted.  
                   cash and investments held 
                   by a third party</v>
      </c>
      <c r="D186" s="360"/>
      <c r="E186" s="361">
        <f>'Unit Data from Audit Worksheet'!F212</f>
        <v>0</v>
      </c>
      <c r="F186" s="354">
        <f>IF(L186&lt;0,"Error: Number is normally positive.",)</f>
        <v>0</v>
      </c>
      <c r="G186" s="356"/>
      <c r="H186" s="353">
        <f>'Unit Data from Audit Worksheet'!I212</f>
        <v>0</v>
      </c>
      <c r="I186" s="38"/>
      <c r="J186" s="352">
        <v>512</v>
      </c>
      <c r="K186" s="351" t="s">
        <v>252</v>
      </c>
      <c r="L186" s="589">
        <f t="shared" si="20"/>
        <v>0</v>
      </c>
      <c r="P186" s="323"/>
      <c r="W186" s="3" t="b">
        <f t="shared" si="19"/>
        <v>1</v>
      </c>
      <c r="X186" s="586">
        <f t="shared" si="21"/>
        <v>0</v>
      </c>
      <c r="Y186" s="586">
        <f t="shared" si="22"/>
        <v>0</v>
      </c>
    </row>
    <row r="187" spans="1:25" ht="62.25" customHeight="1" x14ac:dyDescent="0.25">
      <c r="A187" s="341">
        <f>'Unit Data from Audit Worksheet'!A214</f>
        <v>656</v>
      </c>
      <c r="B187" s="355">
        <f>'Unit Data from Audit Worksheet'!C214</f>
        <v>0</v>
      </c>
      <c r="C187" s="340" t="str">
        <f>'Unit Data from Audit Worksheet'!D214</f>
        <v>Do you use prepared food/occupancy tax revenue stream to support debt?  Select "1" for Yes and "2" for No</v>
      </c>
      <c r="D187" s="139"/>
      <c r="E187" s="361">
        <f>'Unit Data from Audit Worksheet'!F214</f>
        <v>0</v>
      </c>
      <c r="F187" s="354"/>
      <c r="G187" s="356"/>
      <c r="H187" s="353"/>
      <c r="I187" s="38"/>
      <c r="J187" s="352">
        <v>656</v>
      </c>
      <c r="K187" s="358" t="s">
        <v>547</v>
      </c>
      <c r="L187" s="615">
        <f>E187</f>
        <v>0</v>
      </c>
      <c r="M187" s="18"/>
      <c r="N187" s="18"/>
      <c r="O187" s="18"/>
      <c r="P187" s="323"/>
      <c r="W187" s="3" t="b">
        <f t="shared" si="19"/>
        <v>1</v>
      </c>
      <c r="X187" s="586">
        <f t="shared" si="21"/>
        <v>0</v>
      </c>
      <c r="Y187" s="586">
        <f t="shared" si="22"/>
        <v>0</v>
      </c>
    </row>
    <row r="188" spans="1:25" s="18" customFormat="1" ht="102.75" customHeight="1" x14ac:dyDescent="0.25">
      <c r="A188" s="341">
        <f>'Unit Data from Audit Worksheet'!A216</f>
        <v>535</v>
      </c>
      <c r="B188" s="355" t="str">
        <f>'Unit Data from Audit Worksheet'!C216</f>
        <v>Cash and Investment Note</v>
      </c>
      <c r="C188" s="340" t="str">
        <f>'Unit Data from Audit Worksheet'!D216</f>
        <v>Cash and Investment - Please list the book value of any unspent debt proceeds (bonds, installment, etc.) in any funds as of June 30.  This information may be on the face of your statements or in the notes</v>
      </c>
      <c r="D188" s="360"/>
      <c r="E188" s="361">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6"/>
      <c r="H188" s="353">
        <f>'Unit Data from Audit Worksheet'!I216</f>
        <v>0</v>
      </c>
      <c r="I188" s="38"/>
      <c r="J188" s="352">
        <v>535</v>
      </c>
      <c r="K188" s="62" t="s">
        <v>253</v>
      </c>
      <c r="L188" s="589">
        <f t="shared" si="20"/>
        <v>0</v>
      </c>
      <c r="P188" s="323"/>
      <c r="Q188" s="579"/>
      <c r="R188" s="3"/>
      <c r="W188" s="3" t="b">
        <f t="shared" si="19"/>
        <v>1</v>
      </c>
      <c r="X188" s="586">
        <f t="shared" si="21"/>
        <v>0</v>
      </c>
      <c r="Y188" s="586">
        <f t="shared" si="22"/>
        <v>0</v>
      </c>
    </row>
    <row r="189" spans="1:25" ht="45.75" customHeight="1" x14ac:dyDescent="0.25">
      <c r="A189" s="341">
        <f>'Unit Data from Audit Worksheet'!A220</f>
        <v>334</v>
      </c>
      <c r="B189" s="355" t="str">
        <f>'Unit Data from Audit Worksheet'!C220</f>
        <v>Gov.-Capital Assets Schedule in the Notes</v>
      </c>
      <c r="C189" s="340" t="str">
        <f>'Unit Data from Audit Worksheet'!D220</f>
        <v>Gross value.  
Exclude non-depreciable.</v>
      </c>
      <c r="D189" s="360"/>
      <c r="E189" s="361">
        <f>'Unit Data from Audit Worksheet'!F220</f>
        <v>0</v>
      </c>
      <c r="F189" s="87"/>
      <c r="G189" s="356"/>
      <c r="H189" s="353">
        <f>'Unit Data from Audit Worksheet'!I220</f>
        <v>0</v>
      </c>
      <c r="I189" s="38"/>
      <c r="J189" s="352">
        <v>334</v>
      </c>
      <c r="K189" s="62" t="s">
        <v>276</v>
      </c>
      <c r="L189" s="589">
        <f t="shared" si="20"/>
        <v>0</v>
      </c>
      <c r="P189" s="323"/>
      <c r="W189" s="3" t="b">
        <f t="shared" si="19"/>
        <v>1</v>
      </c>
      <c r="X189" s="586">
        <f t="shared" si="21"/>
        <v>0</v>
      </c>
      <c r="Y189" s="586">
        <f t="shared" si="22"/>
        <v>0</v>
      </c>
    </row>
    <row r="190" spans="1:25" ht="57" customHeight="1" x14ac:dyDescent="0.25">
      <c r="A190" s="341">
        <f>'Unit Data from Audit Worksheet'!A221</f>
        <v>373</v>
      </c>
      <c r="B190" s="355" t="str">
        <f>'Unit Data from Audit Worksheet'!C221</f>
        <v>Gov.-Capital Assets Schedule in the Notes</v>
      </c>
      <c r="C190" s="340" t="str">
        <f>'Unit Data from Audit Worksheet'!D221</f>
        <v>Accumulated depreciation</v>
      </c>
      <c r="D190" s="360"/>
      <c r="E190" s="361">
        <f>'Unit Data from Audit Worksheet'!F221</f>
        <v>0</v>
      </c>
      <c r="F190" s="87"/>
      <c r="G190" s="356"/>
      <c r="H190" s="353">
        <f>'Unit Data from Audit Worksheet'!I221</f>
        <v>0</v>
      </c>
      <c r="I190" s="38"/>
      <c r="J190" s="352">
        <v>373</v>
      </c>
      <c r="K190" s="58" t="s">
        <v>343</v>
      </c>
      <c r="L190" s="589">
        <f t="shared" si="20"/>
        <v>0</v>
      </c>
      <c r="P190" s="323"/>
      <c r="W190" s="3" t="b">
        <f t="shared" si="19"/>
        <v>1</v>
      </c>
      <c r="X190" s="586">
        <f t="shared" si="21"/>
        <v>0</v>
      </c>
      <c r="Y190" s="586">
        <f t="shared" si="22"/>
        <v>0</v>
      </c>
    </row>
    <row r="191" spans="1:25" ht="102.75" customHeight="1" x14ac:dyDescent="0.25">
      <c r="A191" s="605">
        <f>'Unit Data from Audit Worksheet'!A222</f>
        <v>987</v>
      </c>
      <c r="B191" s="359">
        <f>'Unit Data from Audit Worksheet'!C222</f>
        <v>0</v>
      </c>
      <c r="C191" s="606" t="str">
        <f>'Unit Data from Audit Worksheet'!D222</f>
        <v xml:space="preserve">Estimated cost not yet budgeted of any mandate placed on unit by DEQ, a court order or some similar requirement (that has no realistic appeal path). </v>
      </c>
      <c r="D191" s="360"/>
      <c r="E191" s="361">
        <f>'Unit Data from Audit Worksheet'!F222</f>
        <v>0</v>
      </c>
      <c r="F191" s="87"/>
      <c r="G191" s="356"/>
      <c r="H191" s="353">
        <f>'Unit Data from Audit Worksheet'!I222</f>
        <v>0</v>
      </c>
      <c r="I191" s="38"/>
      <c r="J191" s="370">
        <v>987</v>
      </c>
      <c r="K191" s="616" t="s">
        <v>1036</v>
      </c>
      <c r="L191" s="607">
        <f t="shared" si="20"/>
        <v>0</v>
      </c>
      <c r="P191" s="323"/>
      <c r="W191" s="3" t="b">
        <f t="shared" si="19"/>
        <v>1</v>
      </c>
      <c r="X191" s="586"/>
      <c r="Y191" s="586"/>
    </row>
    <row r="192" spans="1:25" ht="69" customHeight="1" x14ac:dyDescent="0.25">
      <c r="A192" s="605">
        <f>'Unit Data from Audit Worksheet'!A223</f>
        <v>988</v>
      </c>
      <c r="B192" s="359">
        <f>'Unit Data from Audit Worksheet'!C223</f>
        <v>0</v>
      </c>
      <c r="C192" s="606" t="str">
        <f>'Unit Data from Audit Worksheet'!D223</f>
        <v>Do you operate a landfill that will be closing  or have a significant portion closing within the next 5 years?  Select "1" for Yes and "2" for No</v>
      </c>
      <c r="D192" s="360"/>
      <c r="E192" s="361">
        <f>'Unit Data from Audit Worksheet'!F223</f>
        <v>0</v>
      </c>
      <c r="F192" s="87"/>
      <c r="G192" s="356"/>
      <c r="H192" s="353">
        <f>'Unit Data from Audit Worksheet'!I223</f>
        <v>0</v>
      </c>
      <c r="I192" s="38"/>
      <c r="J192" s="370">
        <v>988</v>
      </c>
      <c r="K192" s="616" t="s">
        <v>1558</v>
      </c>
      <c r="L192" s="607">
        <f t="shared" si="20"/>
        <v>0</v>
      </c>
      <c r="P192" s="323"/>
      <c r="W192" s="3" t="b">
        <f t="shared" si="19"/>
        <v>1</v>
      </c>
      <c r="X192" s="586"/>
      <c r="Y192" s="586"/>
    </row>
    <row r="193" spans="1:25" ht="95.25" customHeight="1" x14ac:dyDescent="0.25">
      <c r="A193" s="605">
        <f>'Unit Data from Audit Worksheet'!A224</f>
        <v>989</v>
      </c>
      <c r="B193" s="359">
        <f>'Unit Data from Audit Worksheet'!C224</f>
        <v>0</v>
      </c>
      <c r="C193" s="606" t="str">
        <f>'Unit Data from Audit Worksheet'!D224</f>
        <v>If you answered "yes" to question #988 above, will you have the closure/postclosure cost fully funded by the date of closure?  Select "1" for Yes,  "2" for No, or "3" for N/A.</v>
      </c>
      <c r="D193" s="360"/>
      <c r="E193" s="361">
        <f>'Unit Data from Audit Worksheet'!F224</f>
        <v>0</v>
      </c>
      <c r="F193" s="87"/>
      <c r="G193" s="356"/>
      <c r="H193" s="353">
        <f>'Unit Data from Audit Worksheet'!I224</f>
        <v>0</v>
      </c>
      <c r="I193" s="38"/>
      <c r="J193" s="370">
        <v>989</v>
      </c>
      <c r="K193" s="616" t="s">
        <v>1299</v>
      </c>
      <c r="L193" s="607">
        <f t="shared" si="20"/>
        <v>0</v>
      </c>
      <c r="P193" s="323"/>
      <c r="W193" s="3" t="b">
        <f t="shared" si="19"/>
        <v>1</v>
      </c>
      <c r="X193" s="586"/>
      <c r="Y193" s="586"/>
    </row>
    <row r="194" spans="1:25" ht="57" customHeight="1" x14ac:dyDescent="0.25">
      <c r="A194" s="341">
        <f>'Unit Data from Audit Worksheet'!A228</f>
        <v>327</v>
      </c>
      <c r="B194" s="355" t="str">
        <f>'Unit Data from Audit Worksheet'!C228</f>
        <v>WS-Capital Assets Schedule in the Notes</v>
      </c>
      <c r="C194" s="340" t="str">
        <f>'Unit Data from Audit Worksheet'!D228</f>
        <v>Land and all other non depreciable capital assets 
Exclude construction in progress</v>
      </c>
      <c r="D194" s="360"/>
      <c r="E194" s="361">
        <f>'Unit Data from Audit Worksheet'!F228</f>
        <v>0</v>
      </c>
      <c r="F194" s="87"/>
      <c r="G194" s="356"/>
      <c r="H194" s="353">
        <f>'Unit Data from Audit Worksheet'!I228</f>
        <v>0</v>
      </c>
      <c r="I194" s="38"/>
      <c r="J194" s="352">
        <v>327</v>
      </c>
      <c r="K194" s="58" t="s">
        <v>344</v>
      </c>
      <c r="L194" s="589">
        <f t="shared" si="20"/>
        <v>0</v>
      </c>
      <c r="P194" s="323"/>
      <c r="W194" s="3" t="b">
        <f t="shared" si="19"/>
        <v>1</v>
      </c>
      <c r="X194" s="586">
        <f t="shared" si="21"/>
        <v>0</v>
      </c>
      <c r="Y194" s="586">
        <f t="shared" si="22"/>
        <v>0</v>
      </c>
    </row>
    <row r="195" spans="1:25" ht="57" customHeight="1" x14ac:dyDescent="0.25">
      <c r="A195" s="341">
        <f>'Unit Data from Audit Worksheet'!A229</f>
        <v>328</v>
      </c>
      <c r="B195" s="355" t="str">
        <f>'Unit Data from Audit Worksheet'!C229</f>
        <v>WS-Capital Assets Schedule in the Notes</v>
      </c>
      <c r="C195" s="340" t="str">
        <f>'Unit Data from Audit Worksheet'!D229</f>
        <v>Construction in progress</v>
      </c>
      <c r="D195" s="360"/>
      <c r="E195" s="361">
        <f>'Unit Data from Audit Worksheet'!F229</f>
        <v>0</v>
      </c>
      <c r="F195" s="87"/>
      <c r="G195" s="356"/>
      <c r="H195" s="353">
        <f>'Unit Data from Audit Worksheet'!I229</f>
        <v>0</v>
      </c>
      <c r="I195" s="38"/>
      <c r="J195" s="352">
        <v>328</v>
      </c>
      <c r="K195" s="58" t="s">
        <v>345</v>
      </c>
      <c r="L195" s="589">
        <f t="shared" si="20"/>
        <v>0</v>
      </c>
      <c r="P195" s="323"/>
      <c r="W195" s="3" t="b">
        <f t="shared" si="19"/>
        <v>1</v>
      </c>
      <c r="X195" s="586">
        <f t="shared" si="21"/>
        <v>0</v>
      </c>
      <c r="Y195" s="586">
        <f t="shared" si="22"/>
        <v>0</v>
      </c>
    </row>
    <row r="196" spans="1:25" ht="46.5" customHeight="1" x14ac:dyDescent="0.25">
      <c r="A196" s="341">
        <f>'Unit Data from Audit Worksheet'!A233</f>
        <v>515</v>
      </c>
      <c r="B196" s="355" t="str">
        <f>'Unit Data from Audit Worksheet'!C233</f>
        <v>WS Capital Assets Schedule-Gross Value</v>
      </c>
      <c r="C196" s="340" t="str">
        <f>'Unit Data from Audit Worksheet'!D233</f>
        <v>Buildings</v>
      </c>
      <c r="D196" s="360"/>
      <c r="E196" s="361">
        <f>'Unit Data from Audit Worksheet'!F233</f>
        <v>0</v>
      </c>
      <c r="F196" s="87"/>
      <c r="G196" s="356"/>
      <c r="H196" s="353">
        <f>'Unit Data from Audit Worksheet'!I233</f>
        <v>0</v>
      </c>
      <c r="I196" s="38"/>
      <c r="J196" s="352">
        <v>515</v>
      </c>
      <c r="K196" s="58" t="s">
        <v>277</v>
      </c>
      <c r="L196" s="589">
        <f t="shared" si="20"/>
        <v>0</v>
      </c>
      <c r="P196" s="323"/>
      <c r="W196" s="3" t="b">
        <f t="shared" si="19"/>
        <v>1</v>
      </c>
      <c r="X196" s="586">
        <f t="shared" si="21"/>
        <v>0</v>
      </c>
      <c r="Y196" s="586">
        <f t="shared" si="22"/>
        <v>0</v>
      </c>
    </row>
    <row r="197" spans="1:25" ht="46.5" customHeight="1" x14ac:dyDescent="0.25">
      <c r="A197" s="341">
        <f>'Unit Data from Audit Worksheet'!A234</f>
        <v>516</v>
      </c>
      <c r="B197" s="355" t="str">
        <f>'Unit Data from Audit Worksheet'!C234</f>
        <v>WS Capital Assets Schedule-Gross Value</v>
      </c>
      <c r="C197" s="340" t="str">
        <f>'Unit Data from Audit Worksheet'!D234</f>
        <v>Plant / distributions systems / water lines</v>
      </c>
      <c r="D197" s="360"/>
      <c r="E197" s="361">
        <f>'Unit Data from Audit Worksheet'!F234</f>
        <v>0</v>
      </c>
      <c r="F197" s="87"/>
      <c r="G197" s="356"/>
      <c r="H197" s="353">
        <f>'Unit Data from Audit Worksheet'!I234</f>
        <v>0</v>
      </c>
      <c r="I197" s="38"/>
      <c r="J197" s="352">
        <v>516</v>
      </c>
      <c r="K197" s="58" t="s">
        <v>278</v>
      </c>
      <c r="L197" s="589">
        <f t="shared" si="20"/>
        <v>0</v>
      </c>
      <c r="P197" s="323"/>
      <c r="W197" s="3" t="b">
        <f t="shared" ref="W197:W228" si="23">EXACT(A197,J197)</f>
        <v>1</v>
      </c>
      <c r="X197" s="586">
        <f t="shared" si="21"/>
        <v>0</v>
      </c>
      <c r="Y197" s="586">
        <f t="shared" si="22"/>
        <v>0</v>
      </c>
    </row>
    <row r="198" spans="1:25" ht="46.5" customHeight="1" x14ac:dyDescent="0.25">
      <c r="A198" s="341">
        <f>'Unit Data from Audit Worksheet'!A235</f>
        <v>517</v>
      </c>
      <c r="B198" s="355" t="str">
        <f>'Unit Data from Audit Worksheet'!C235</f>
        <v>WS Capital Assets Schedule-Gross Value</v>
      </c>
      <c r="C198" s="340" t="str">
        <f>'Unit Data from Audit Worksheet'!D235</f>
        <v>Infrastructure(other infrastructure)</v>
      </c>
      <c r="D198" s="360"/>
      <c r="E198" s="361">
        <f>'Unit Data from Audit Worksheet'!F235</f>
        <v>0</v>
      </c>
      <c r="F198" s="87"/>
      <c r="G198" s="356"/>
      <c r="H198" s="353">
        <f>'Unit Data from Audit Worksheet'!I235</f>
        <v>0</v>
      </c>
      <c r="I198" s="38"/>
      <c r="J198" s="352">
        <v>517</v>
      </c>
      <c r="K198" s="617" t="s">
        <v>279</v>
      </c>
      <c r="L198" s="589">
        <f t="shared" si="20"/>
        <v>0</v>
      </c>
      <c r="P198" s="323"/>
      <c r="W198" s="3" t="b">
        <f t="shared" si="23"/>
        <v>1</v>
      </c>
      <c r="X198" s="586">
        <f t="shared" si="21"/>
        <v>0</v>
      </c>
      <c r="Y198" s="586">
        <f t="shared" si="22"/>
        <v>0</v>
      </c>
    </row>
    <row r="199" spans="1:25" ht="46.5" customHeight="1" x14ac:dyDescent="0.25">
      <c r="A199" s="341">
        <f>'Unit Data from Audit Worksheet'!A236</f>
        <v>518</v>
      </c>
      <c r="B199" s="355" t="str">
        <f>'Unit Data from Audit Worksheet'!C236</f>
        <v>WS Capital Assets Schedule-Gross Value</v>
      </c>
      <c r="C199" s="340" t="str">
        <f>'Unit Data from Audit Worksheet'!D236</f>
        <v>All other depreciable capital assets</v>
      </c>
      <c r="D199" s="360"/>
      <c r="E199" s="361">
        <f>'Unit Data from Audit Worksheet'!F236</f>
        <v>0</v>
      </c>
      <c r="F199" s="87"/>
      <c r="G199" s="356"/>
      <c r="H199" s="353">
        <f>'Unit Data from Audit Worksheet'!I236</f>
        <v>0</v>
      </c>
      <c r="I199" s="38"/>
      <c r="J199" s="352">
        <v>518</v>
      </c>
      <c r="K199" s="617" t="s">
        <v>280</v>
      </c>
      <c r="L199" s="589">
        <f t="shared" si="20"/>
        <v>0</v>
      </c>
      <c r="P199" s="323"/>
      <c r="W199" s="3" t="b">
        <f t="shared" si="23"/>
        <v>1</v>
      </c>
      <c r="X199" s="586">
        <f t="shared" si="21"/>
        <v>0</v>
      </c>
      <c r="Y199" s="586">
        <f t="shared" si="22"/>
        <v>0</v>
      </c>
    </row>
    <row r="200" spans="1:25" ht="52.5" customHeight="1" x14ac:dyDescent="0.25">
      <c r="A200" s="341">
        <f>'Unit Data from Audit Worksheet'!A239</f>
        <v>519</v>
      </c>
      <c r="B200" s="355" t="str">
        <f>'Unit Data from Audit Worksheet'!C239</f>
        <v>WS Capital Assets Schedule-Annual Depreciation</v>
      </c>
      <c r="C200" s="340" t="str">
        <f>'Unit Data from Audit Worksheet'!D239</f>
        <v>Buildings annual depreciation</v>
      </c>
      <c r="D200" s="360"/>
      <c r="E200" s="361">
        <f>'Unit Data from Audit Worksheet'!F239</f>
        <v>0</v>
      </c>
      <c r="F200" s="87"/>
      <c r="G200" s="356"/>
      <c r="H200" s="353">
        <f>'Unit Data from Audit Worksheet'!I239</f>
        <v>0</v>
      </c>
      <c r="I200" s="38"/>
      <c r="J200" s="352">
        <v>519</v>
      </c>
      <c r="K200" s="617" t="s">
        <v>281</v>
      </c>
      <c r="L200" s="589">
        <f t="shared" si="20"/>
        <v>0</v>
      </c>
      <c r="P200" s="323"/>
      <c r="W200" s="3" t="b">
        <f t="shared" si="23"/>
        <v>1</v>
      </c>
      <c r="X200" s="586">
        <f t="shared" si="21"/>
        <v>0</v>
      </c>
      <c r="Y200" s="586">
        <f t="shared" si="22"/>
        <v>0</v>
      </c>
    </row>
    <row r="201" spans="1:25" ht="52.5" customHeight="1" x14ac:dyDescent="0.25">
      <c r="A201" s="341">
        <f>'Unit Data from Audit Worksheet'!A240</f>
        <v>520</v>
      </c>
      <c r="B201" s="355" t="str">
        <f>'Unit Data from Audit Worksheet'!C240</f>
        <v>WS Capital Assets Schedule-Annual Depreciation</v>
      </c>
      <c r="C201" s="340" t="str">
        <f>'Unit Data from Audit Worksheet'!D240</f>
        <v>Plant / distributions systems / water lines annual depreciation</v>
      </c>
      <c r="D201" s="360"/>
      <c r="E201" s="361">
        <f>'Unit Data from Audit Worksheet'!F240</f>
        <v>0</v>
      </c>
      <c r="F201" s="87"/>
      <c r="G201" s="356"/>
      <c r="H201" s="353">
        <f>'Unit Data from Audit Worksheet'!I240</f>
        <v>0</v>
      </c>
      <c r="I201" s="38"/>
      <c r="J201" s="352">
        <v>520</v>
      </c>
      <c r="K201" s="617" t="s">
        <v>282</v>
      </c>
      <c r="L201" s="589">
        <f t="shared" si="20"/>
        <v>0</v>
      </c>
      <c r="P201" s="323"/>
      <c r="W201" s="3" t="b">
        <f t="shared" si="23"/>
        <v>1</v>
      </c>
      <c r="X201" s="586">
        <f t="shared" si="21"/>
        <v>0</v>
      </c>
      <c r="Y201" s="586">
        <f t="shared" si="22"/>
        <v>0</v>
      </c>
    </row>
    <row r="202" spans="1:25" ht="52.5" customHeight="1" x14ac:dyDescent="0.25">
      <c r="A202" s="341">
        <f>'Unit Data from Audit Worksheet'!A241</f>
        <v>521</v>
      </c>
      <c r="B202" s="355" t="str">
        <f>'Unit Data from Audit Worksheet'!C241</f>
        <v>WS Capital Assets Schedule-Annual Depreciation</v>
      </c>
      <c r="C202" s="340" t="str">
        <f>'Unit Data from Audit Worksheet'!D241</f>
        <v>Infrastructure(other infrastructure) annual depreciation</v>
      </c>
      <c r="D202" s="360"/>
      <c r="E202" s="361">
        <f>'Unit Data from Audit Worksheet'!F241</f>
        <v>0</v>
      </c>
      <c r="F202" s="87"/>
      <c r="G202" s="356"/>
      <c r="H202" s="353">
        <f>'Unit Data from Audit Worksheet'!I241</f>
        <v>0</v>
      </c>
      <c r="I202" s="38"/>
      <c r="J202" s="352">
        <v>521</v>
      </c>
      <c r="K202" s="58" t="s">
        <v>283</v>
      </c>
      <c r="L202" s="589">
        <f t="shared" si="20"/>
        <v>0</v>
      </c>
      <c r="P202" s="323"/>
      <c r="W202" s="3" t="b">
        <f t="shared" si="23"/>
        <v>1</v>
      </c>
      <c r="X202" s="586">
        <f t="shared" si="21"/>
        <v>0</v>
      </c>
      <c r="Y202" s="586">
        <f t="shared" si="22"/>
        <v>0</v>
      </c>
    </row>
    <row r="203" spans="1:25" ht="42.75" customHeight="1" x14ac:dyDescent="0.25">
      <c r="A203" s="341">
        <f>'Unit Data from Audit Worksheet'!A242</f>
        <v>522</v>
      </c>
      <c r="B203" s="355" t="str">
        <f>'Unit Data from Audit Worksheet'!C242</f>
        <v>WS Capital Assets Schedule-Annual Depreciation</v>
      </c>
      <c r="C203" s="340" t="str">
        <f>'Unit Data from Audit Worksheet'!D242</f>
        <v>All other depreciable capital assets annual depreciation</v>
      </c>
      <c r="D203" s="360"/>
      <c r="E203" s="361">
        <f>'Unit Data from Audit Worksheet'!F242</f>
        <v>0</v>
      </c>
      <c r="F203" s="87"/>
      <c r="G203" s="356"/>
      <c r="H203" s="353">
        <f>'Unit Data from Audit Worksheet'!I242</f>
        <v>0</v>
      </c>
      <c r="I203" s="38"/>
      <c r="J203" s="352">
        <v>522</v>
      </c>
      <c r="K203" s="58" t="s">
        <v>284</v>
      </c>
      <c r="L203" s="589">
        <f t="shared" si="20"/>
        <v>0</v>
      </c>
      <c r="P203" s="323"/>
      <c r="W203" s="3" t="b">
        <f t="shared" si="23"/>
        <v>1</v>
      </c>
      <c r="X203" s="586">
        <f t="shared" si="21"/>
        <v>0</v>
      </c>
      <c r="Y203" s="586">
        <f t="shared" si="22"/>
        <v>0</v>
      </c>
    </row>
    <row r="204" spans="1:25" ht="42.75" customHeight="1" x14ac:dyDescent="0.25">
      <c r="A204" s="341">
        <f>'Unit Data from Audit Worksheet'!A245</f>
        <v>523</v>
      </c>
      <c r="B204" s="355" t="str">
        <f>'Unit Data from Audit Worksheet'!C245</f>
        <v>WS Capital Assets Schedule-Accumulated Depreciation</v>
      </c>
      <c r="C204" s="340" t="str">
        <f>'Unit Data from Audit Worksheet'!D245</f>
        <v>Building accumulated depreciation</v>
      </c>
      <c r="D204" s="360"/>
      <c r="E204" s="361">
        <f>'Unit Data from Audit Worksheet'!F245</f>
        <v>0</v>
      </c>
      <c r="F204" s="87"/>
      <c r="G204" s="356"/>
      <c r="H204" s="353">
        <f>'Unit Data from Audit Worksheet'!I245</f>
        <v>0</v>
      </c>
      <c r="I204" s="38"/>
      <c r="J204" s="352">
        <v>523</v>
      </c>
      <c r="K204" s="58" t="s">
        <v>285</v>
      </c>
      <c r="L204" s="589">
        <f t="shared" si="20"/>
        <v>0</v>
      </c>
      <c r="P204" s="323"/>
      <c r="W204" s="3" t="b">
        <f t="shared" si="23"/>
        <v>1</v>
      </c>
      <c r="X204" s="586">
        <f t="shared" si="21"/>
        <v>0</v>
      </c>
      <c r="Y204" s="586">
        <f t="shared" si="22"/>
        <v>0</v>
      </c>
    </row>
    <row r="205" spans="1:25" ht="51" customHeight="1" x14ac:dyDescent="0.25">
      <c r="A205" s="341">
        <f>'Unit Data from Audit Worksheet'!A246</f>
        <v>524</v>
      </c>
      <c r="B205" s="355" t="str">
        <f>'Unit Data from Audit Worksheet'!C246</f>
        <v>WS Capital Assets Schedule-Accumulated Depreciation</v>
      </c>
      <c r="C205" s="340" t="str">
        <f>'Unit Data from Audit Worksheet'!D246</f>
        <v>Plant / distributions systems / water lines accumulated depreciation</v>
      </c>
      <c r="D205" s="360"/>
      <c r="E205" s="361">
        <f>'Unit Data from Audit Worksheet'!F246</f>
        <v>0</v>
      </c>
      <c r="F205" s="87"/>
      <c r="G205" s="356"/>
      <c r="H205" s="353">
        <f>'Unit Data from Audit Worksheet'!I246</f>
        <v>0</v>
      </c>
      <c r="I205" s="38"/>
      <c r="J205" s="352">
        <v>524</v>
      </c>
      <c r="K205" s="58" t="s">
        <v>286</v>
      </c>
      <c r="L205" s="589">
        <f t="shared" si="20"/>
        <v>0</v>
      </c>
      <c r="P205" s="323"/>
      <c r="W205" s="3" t="b">
        <f t="shared" si="23"/>
        <v>1</v>
      </c>
      <c r="X205" s="586">
        <f t="shared" si="21"/>
        <v>0</v>
      </c>
      <c r="Y205" s="586">
        <f t="shared" si="22"/>
        <v>0</v>
      </c>
    </row>
    <row r="206" spans="1:25" ht="57.75" customHeight="1" x14ac:dyDescent="0.25">
      <c r="A206" s="341">
        <f>'Unit Data from Audit Worksheet'!A247</f>
        <v>525</v>
      </c>
      <c r="B206" s="355" t="str">
        <f>'Unit Data from Audit Worksheet'!C247</f>
        <v>WS Capital Assets Schedule-Accumulated Depreciation</v>
      </c>
      <c r="C206" s="340" t="str">
        <f>'Unit Data from Audit Worksheet'!D247</f>
        <v>Infrastructure(other infrastructure) accumulated depreciation</v>
      </c>
      <c r="D206" s="360"/>
      <c r="E206" s="361">
        <f>'Unit Data from Audit Worksheet'!F247</f>
        <v>0</v>
      </c>
      <c r="F206" s="87"/>
      <c r="G206" s="356"/>
      <c r="H206" s="353">
        <f>'Unit Data from Audit Worksheet'!I247</f>
        <v>0</v>
      </c>
      <c r="I206" s="38"/>
      <c r="J206" s="352">
        <v>525</v>
      </c>
      <c r="K206" s="58" t="s">
        <v>287</v>
      </c>
      <c r="L206" s="589">
        <f t="shared" si="20"/>
        <v>0</v>
      </c>
      <c r="P206" s="323"/>
      <c r="W206" s="3" t="b">
        <f t="shared" si="23"/>
        <v>1</v>
      </c>
      <c r="X206" s="586">
        <f t="shared" si="21"/>
        <v>0</v>
      </c>
      <c r="Y206" s="586">
        <f t="shared" si="22"/>
        <v>0</v>
      </c>
    </row>
    <row r="207" spans="1:25" ht="48" customHeight="1" x14ac:dyDescent="0.25">
      <c r="A207" s="341">
        <f>'Unit Data from Audit Worksheet'!A248</f>
        <v>526</v>
      </c>
      <c r="B207" s="355" t="str">
        <f>'Unit Data from Audit Worksheet'!C248</f>
        <v>WS Capital Assets Schedule-Accumulated Depreciation</v>
      </c>
      <c r="C207" s="340" t="str">
        <f>'Unit Data from Audit Worksheet'!D248</f>
        <v>All other depreciable capital assets accumulated depreciation</v>
      </c>
      <c r="D207" s="360"/>
      <c r="E207" s="361">
        <f>'Unit Data from Audit Worksheet'!F248</f>
        <v>0</v>
      </c>
      <c r="F207" s="87"/>
      <c r="G207" s="356"/>
      <c r="H207" s="353">
        <f>'Unit Data from Audit Worksheet'!I248</f>
        <v>0</v>
      </c>
      <c r="I207" s="38"/>
      <c r="J207" s="352">
        <v>526</v>
      </c>
      <c r="K207" s="58" t="s">
        <v>288</v>
      </c>
      <c r="L207" s="589">
        <f t="shared" si="20"/>
        <v>0</v>
      </c>
      <c r="P207" s="323"/>
      <c r="W207" s="3" t="b">
        <f t="shared" si="23"/>
        <v>1</v>
      </c>
      <c r="X207" s="586">
        <f t="shared" si="21"/>
        <v>0</v>
      </c>
      <c r="Y207" s="586">
        <f t="shared" si="22"/>
        <v>0</v>
      </c>
    </row>
    <row r="208" spans="1:25" ht="50.25" customHeight="1" x14ac:dyDescent="0.25">
      <c r="A208" s="341">
        <f>'Unit Data from Audit Worksheet'!A253</f>
        <v>527</v>
      </c>
      <c r="B208" s="355" t="str">
        <f>'Unit Data from Audit Worksheet'!C253</f>
        <v>Electric Assets</v>
      </c>
      <c r="C208" s="340" t="str">
        <f>'Unit Data from Audit Worksheet'!D253</f>
        <v>Total Assets Gross value not being depreciated for Electric Fund</v>
      </c>
      <c r="D208" s="360"/>
      <c r="E208" s="361">
        <f>'Unit Data from Audit Worksheet'!F253</f>
        <v>0</v>
      </c>
      <c r="F208" s="87"/>
      <c r="G208" s="356"/>
      <c r="H208" s="353">
        <f>'Unit Data from Audit Worksheet'!I253</f>
        <v>0</v>
      </c>
      <c r="I208" s="38"/>
      <c r="J208" s="352">
        <v>527</v>
      </c>
      <c r="K208" s="58" t="s">
        <v>289</v>
      </c>
      <c r="L208" s="589">
        <f t="shared" si="20"/>
        <v>0</v>
      </c>
      <c r="P208" s="323"/>
      <c r="W208" s="3" t="b">
        <f t="shared" si="23"/>
        <v>1</v>
      </c>
      <c r="X208" s="586">
        <f t="shared" si="21"/>
        <v>0</v>
      </c>
      <c r="Y208" s="586">
        <f t="shared" si="22"/>
        <v>0</v>
      </c>
    </row>
    <row r="209" spans="1:27" ht="54.75" customHeight="1" x14ac:dyDescent="0.25">
      <c r="A209" s="341">
        <f>'Unit Data from Audit Worksheet'!A254</f>
        <v>356</v>
      </c>
      <c r="B209" s="355" t="str">
        <f>'Unit Data from Audit Worksheet'!C254</f>
        <v>Electric Assets</v>
      </c>
      <c r="C209" s="340" t="str">
        <f>'Unit Data from Audit Worksheet'!D254</f>
        <v>Total Assets Gross value of assets being depreciated for Electric Fund</v>
      </c>
      <c r="D209" s="360"/>
      <c r="E209" s="361">
        <f>'Unit Data from Audit Worksheet'!F254</f>
        <v>0</v>
      </c>
      <c r="F209" s="87"/>
      <c r="G209" s="356"/>
      <c r="H209" s="353">
        <f>'Unit Data from Audit Worksheet'!I254</f>
        <v>0</v>
      </c>
      <c r="I209" s="38"/>
      <c r="J209" s="352">
        <v>356</v>
      </c>
      <c r="K209" s="58" t="s">
        <v>346</v>
      </c>
      <c r="L209" s="589">
        <f t="shared" si="20"/>
        <v>0</v>
      </c>
      <c r="P209" s="323"/>
      <c r="W209" s="3" t="b">
        <f t="shared" si="23"/>
        <v>1</v>
      </c>
      <c r="X209" s="586">
        <f t="shared" si="21"/>
        <v>0</v>
      </c>
      <c r="Y209" s="586">
        <f t="shared" si="22"/>
        <v>0</v>
      </c>
    </row>
    <row r="210" spans="1:27" ht="54.75" customHeight="1" x14ac:dyDescent="0.25">
      <c r="A210" s="341">
        <f>'Unit Data from Audit Worksheet'!A255</f>
        <v>357</v>
      </c>
      <c r="B210" s="355" t="str">
        <f>'Unit Data from Audit Worksheet'!C255</f>
        <v>Electric Accumulated Depreciation</v>
      </c>
      <c r="C210" s="340" t="str">
        <f>'Unit Data from Audit Worksheet'!D255</f>
        <v>Total accumulated depreciation for Electric Fund assets</v>
      </c>
      <c r="D210" s="360"/>
      <c r="E210" s="361">
        <f>'Unit Data from Audit Worksheet'!F255</f>
        <v>0</v>
      </c>
      <c r="F210" s="87"/>
      <c r="G210" s="356"/>
      <c r="H210" s="353">
        <f>'Unit Data from Audit Worksheet'!I255</f>
        <v>0</v>
      </c>
      <c r="I210" s="38"/>
      <c r="J210" s="352">
        <v>357</v>
      </c>
      <c r="K210" s="58" t="s">
        <v>347</v>
      </c>
      <c r="L210" s="589">
        <f t="shared" si="20"/>
        <v>0</v>
      </c>
      <c r="P210" s="323"/>
      <c r="W210" s="3" t="b">
        <f t="shared" si="23"/>
        <v>1</v>
      </c>
      <c r="X210" s="586">
        <f t="shared" si="21"/>
        <v>0</v>
      </c>
      <c r="Y210" s="586">
        <f t="shared" si="22"/>
        <v>0</v>
      </c>
    </row>
    <row r="211" spans="1:27" ht="191.25" customHeight="1" x14ac:dyDescent="0.25">
      <c r="A211" s="341">
        <f>'Unit Data from Audit Worksheet'!A257</f>
        <v>337</v>
      </c>
      <c r="B211" s="355" t="str">
        <f>'Unit Data from Audit Worksheet'!C257</f>
        <v>Long-Term Liability Note - Governmental Activities</v>
      </c>
      <c r="C211" s="355"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60"/>
      <c r="E211" s="361">
        <f>'Unit Data from Audit Worksheet'!F257</f>
        <v>0</v>
      </c>
      <c r="F211" s="354">
        <f>IF(L211&lt;0,"Error: Enter as a positive.",)</f>
        <v>0</v>
      </c>
      <c r="G211" s="356"/>
      <c r="H211" s="353">
        <f>'Unit Data from Audit Worksheet'!I257</f>
        <v>0</v>
      </c>
      <c r="I211" s="38"/>
      <c r="J211" s="352">
        <v>337</v>
      </c>
      <c r="K211" s="351" t="s">
        <v>254</v>
      </c>
      <c r="L211" s="589">
        <f t="shared" si="20"/>
        <v>0</v>
      </c>
      <c r="P211" s="323"/>
      <c r="W211" s="3" t="b">
        <f t="shared" si="23"/>
        <v>1</v>
      </c>
      <c r="X211" s="586">
        <f t="shared" si="21"/>
        <v>0</v>
      </c>
      <c r="Y211" s="586">
        <f t="shared" si="22"/>
        <v>0</v>
      </c>
    </row>
    <row r="212" spans="1:27" ht="76.5" customHeight="1" x14ac:dyDescent="0.25">
      <c r="A212" s="341">
        <f>'Unit Data from Audit Worksheet'!A258</f>
        <v>343</v>
      </c>
      <c r="B212" s="355" t="str">
        <f>'Unit Data from Audit Worksheet'!C258</f>
        <v>Long-Term Liability Note - Governmental Activities</v>
      </c>
      <c r="C212" s="340" t="str">
        <f>'Unit Data from Audit Worksheet'!D258</f>
        <v>Decreases made (principal paid) on Long-Term Debt in current fiscal year.  Reduce for debt refunding.</v>
      </c>
      <c r="D212" s="360"/>
      <c r="E212" s="361">
        <f>'Unit Data from Audit Worksheet'!F258</f>
        <v>0</v>
      </c>
      <c r="F212" s="354">
        <f>IF(L212&lt;0,"Error: Enter as a positive.",)</f>
        <v>0</v>
      </c>
      <c r="G212" s="356"/>
      <c r="H212" s="353">
        <f>'Unit Data from Audit Worksheet'!I258</f>
        <v>0</v>
      </c>
      <c r="I212" s="38"/>
      <c r="J212" s="352">
        <v>343</v>
      </c>
      <c r="K212" s="351" t="s">
        <v>255</v>
      </c>
      <c r="L212" s="589">
        <f t="shared" si="20"/>
        <v>0</v>
      </c>
      <c r="P212" s="323"/>
      <c r="W212" s="3" t="b">
        <f t="shared" si="23"/>
        <v>1</v>
      </c>
      <c r="X212" s="586">
        <f t="shared" si="21"/>
        <v>0</v>
      </c>
      <c r="Y212" s="586">
        <f t="shared" si="22"/>
        <v>0</v>
      </c>
    </row>
    <row r="213" spans="1:27" ht="193.5" customHeight="1" x14ac:dyDescent="0.25">
      <c r="A213" s="341">
        <f>'Unit Data from Audit Worksheet'!A259</f>
        <v>82</v>
      </c>
      <c r="B213" s="355" t="str">
        <f>'Unit Data from Audit Worksheet'!C259</f>
        <v>Long-Term Liability Note - Water Sewer Activities</v>
      </c>
      <c r="C213" s="355"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60"/>
      <c r="E213" s="361">
        <f>'Unit Data from Audit Worksheet'!F259</f>
        <v>0</v>
      </c>
      <c r="F213" s="354">
        <f>IF(L213&lt;0,"Error: Enter as a positive.",)</f>
        <v>0</v>
      </c>
      <c r="G213" s="356"/>
      <c r="H213" s="353">
        <f>'Unit Data from Audit Worksheet'!I259</f>
        <v>0</v>
      </c>
      <c r="I213" s="38"/>
      <c r="J213" s="352">
        <v>82</v>
      </c>
      <c r="K213" s="69" t="s">
        <v>348</v>
      </c>
      <c r="L213" s="589">
        <f t="shared" si="20"/>
        <v>0</v>
      </c>
      <c r="P213" s="323"/>
      <c r="W213" s="3" t="b">
        <f t="shared" si="23"/>
        <v>1</v>
      </c>
      <c r="X213" s="586">
        <f t="shared" si="21"/>
        <v>0</v>
      </c>
      <c r="Y213" s="586">
        <f t="shared" si="22"/>
        <v>0</v>
      </c>
    </row>
    <row r="214" spans="1:27" ht="206.25" customHeight="1" x14ac:dyDescent="0.25">
      <c r="A214" s="341">
        <f>'Unit Data from Audit Worksheet'!A260</f>
        <v>359</v>
      </c>
      <c r="B214" s="355" t="str">
        <f>'Unit Data from Audit Worksheet'!C260</f>
        <v>Long-Term Liability Note - Electric Activities</v>
      </c>
      <c r="C214" s="355"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60"/>
      <c r="E214" s="361">
        <f>'Unit Data from Audit Worksheet'!F260</f>
        <v>0</v>
      </c>
      <c r="F214" s="354">
        <f>IF(L214&lt;0,"Error: Enter as a positive.",)</f>
        <v>0</v>
      </c>
      <c r="G214" s="356"/>
      <c r="H214" s="353">
        <f>'Unit Data from Audit Worksheet'!I260</f>
        <v>0</v>
      </c>
      <c r="I214" s="38"/>
      <c r="J214" s="352">
        <v>359</v>
      </c>
      <c r="K214" s="351" t="s">
        <v>256</v>
      </c>
      <c r="L214" s="589">
        <f t="shared" si="20"/>
        <v>0</v>
      </c>
      <c r="P214" s="323"/>
      <c r="W214" s="3" t="b">
        <f t="shared" si="23"/>
        <v>1</v>
      </c>
      <c r="X214" s="586">
        <f t="shared" si="21"/>
        <v>0</v>
      </c>
      <c r="Y214" s="586">
        <f t="shared" si="22"/>
        <v>0</v>
      </c>
    </row>
    <row r="215" spans="1:27" ht="76.5" customHeight="1" x14ac:dyDescent="0.25">
      <c r="A215" s="341">
        <f>'Unit Data from Audit Worksheet'!A262</f>
        <v>622</v>
      </c>
      <c r="B215" s="355" t="str">
        <f>'Unit Data from Audit Worksheet'!C262</f>
        <v>FS., Pension note or RSI</v>
      </c>
      <c r="C215" s="355"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60"/>
      <c r="E215" s="361">
        <f>'Unit Data from Audit Worksheet'!F262</f>
        <v>0</v>
      </c>
      <c r="F215" s="354"/>
      <c r="G215" s="356"/>
      <c r="H215" s="353"/>
      <c r="I215" s="38"/>
      <c r="J215" s="352">
        <v>622</v>
      </c>
      <c r="K215" s="358" t="s">
        <v>453</v>
      </c>
      <c r="L215" s="589">
        <f t="shared" si="20"/>
        <v>0</v>
      </c>
      <c r="P215" s="323"/>
      <c r="W215" s="3" t="b">
        <f t="shared" si="23"/>
        <v>1</v>
      </c>
      <c r="X215" s="586">
        <f t="shared" si="21"/>
        <v>0</v>
      </c>
      <c r="Y215" s="586">
        <f t="shared" si="22"/>
        <v>0</v>
      </c>
    </row>
    <row r="216" spans="1:27" ht="138.75" customHeight="1" x14ac:dyDescent="0.25">
      <c r="A216" s="341">
        <f>'Unit Data from Audit Worksheet'!A263</f>
        <v>577</v>
      </c>
      <c r="B216" s="355" t="str">
        <f>'Unit Data from Audit Worksheet'!C263</f>
        <v>Pension Notes</v>
      </c>
      <c r="C216" s="355"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60"/>
      <c r="E216" s="361" t="str">
        <f>IF('Unit Data from Audit Worksheet'!F263="Yes",1,IF('Unit Data from Audit Worksheet'!F263="No",2,IF('Unit Data from Audit Worksheet'!F263&lt;1,"",IF('Unit Data from Audit Worksheet'!F263=0&gt;2,""))))</f>
        <v/>
      </c>
      <c r="F216" s="354"/>
      <c r="G216" s="356"/>
      <c r="H216" s="353"/>
      <c r="I216" s="38"/>
      <c r="J216" s="352">
        <v>577</v>
      </c>
      <c r="K216" s="358" t="s">
        <v>377</v>
      </c>
      <c r="L216" s="589" t="str">
        <f t="shared" si="20"/>
        <v/>
      </c>
      <c r="P216" s="323"/>
      <c r="W216" s="3" t="b">
        <f t="shared" si="23"/>
        <v>1</v>
      </c>
      <c r="X216" s="586" t="e">
        <f t="shared" si="21"/>
        <v>#VALUE!</v>
      </c>
      <c r="Y216" s="586" t="e">
        <f t="shared" si="22"/>
        <v>#VALUE!</v>
      </c>
    </row>
    <row r="217" spans="1:27" ht="115.5" customHeight="1" x14ac:dyDescent="0.25">
      <c r="A217" s="618">
        <f>'Unit Data from Audit Worksheet'!A265</f>
        <v>598</v>
      </c>
      <c r="B217" s="355" t="str">
        <f>'Unit Data from Audit Worksheet'!C265</f>
        <v>LEO Note</v>
      </c>
      <c r="C217" s="340" t="str">
        <f>'Unit Data from Audit Worksheet'!D265</f>
        <v>Amount the unit paid out in benefits under LEO special separation allowance to retired law enforcement officers this fiscal year if you report under GASB 68 or GASB 73.</v>
      </c>
      <c r="D217" s="360"/>
      <c r="E217" s="361">
        <f>'Unit Data from Audit Worksheet'!F265</f>
        <v>0</v>
      </c>
      <c r="F217" s="354">
        <f>IF(L217&lt;0,"Error: Enter as a positive.",)</f>
        <v>0</v>
      </c>
      <c r="G217" s="356"/>
      <c r="H217" s="353">
        <f>'Unit Data from Audit Worksheet'!I265</f>
        <v>0</v>
      </c>
      <c r="I217" s="38"/>
      <c r="J217" s="352">
        <v>598</v>
      </c>
      <c r="K217" s="94" t="s">
        <v>419</v>
      </c>
      <c r="L217" s="589">
        <f t="shared" si="20"/>
        <v>0</v>
      </c>
      <c r="P217" s="323"/>
      <c r="W217" s="3" t="b">
        <f t="shared" si="23"/>
        <v>1</v>
      </c>
      <c r="X217" s="586">
        <f t="shared" si="21"/>
        <v>0</v>
      </c>
      <c r="Y217" s="586">
        <f t="shared" si="22"/>
        <v>0</v>
      </c>
    </row>
    <row r="218" spans="1:27" ht="84" customHeight="1" x14ac:dyDescent="0.25">
      <c r="A218" s="341">
        <f>'Unit Data from Audit Worksheet'!A266</f>
        <v>599</v>
      </c>
      <c r="B218" s="355" t="str">
        <f>'Unit Data from Audit Worksheet'!C266</f>
        <v>LEO Note</v>
      </c>
      <c r="C218" s="340" t="str">
        <f>'Unit Data from Audit Worksheet'!D266</f>
        <v>The total LEO pension liability if you report under GASB 68 or GASB 73.</v>
      </c>
      <c r="D218" s="360"/>
      <c r="E218" s="361">
        <f>'Unit Data from Audit Worksheet'!F266</f>
        <v>0</v>
      </c>
      <c r="F218" s="354">
        <f>IF(L218&lt;0,"Error: Enter as a positive.",)</f>
        <v>0</v>
      </c>
      <c r="G218" s="356"/>
      <c r="H218" s="353">
        <f>'Unit Data from Audit Worksheet'!I266</f>
        <v>0</v>
      </c>
      <c r="I218" s="38"/>
      <c r="J218" s="352">
        <v>599</v>
      </c>
      <c r="K218" s="93" t="s">
        <v>418</v>
      </c>
      <c r="L218" s="589">
        <f t="shared" si="20"/>
        <v>0</v>
      </c>
      <c r="M218" s="619"/>
      <c r="P218" s="323"/>
      <c r="W218" s="3" t="b">
        <f t="shared" si="23"/>
        <v>1</v>
      </c>
      <c r="X218" s="586">
        <f t="shared" si="21"/>
        <v>0</v>
      </c>
      <c r="Y218" s="586">
        <f t="shared" si="22"/>
        <v>0</v>
      </c>
    </row>
    <row r="219" spans="1:27" ht="102.75" customHeight="1" x14ac:dyDescent="0.25">
      <c r="A219" s="341">
        <f>'Unit Data from Audit Worksheet'!A267</f>
        <v>602</v>
      </c>
      <c r="B219" s="355" t="str">
        <f>'Unit Data from Audit Worksheet'!C267</f>
        <v>LEO Note</v>
      </c>
      <c r="C219" s="340" t="str">
        <f>'Unit Data from Audit Worksheet'!D267</f>
        <v>If you have LEO pension assets and are reporting under GASB 68 please enter "Plan Fiduciary Net Position" which can be found on your RSI schedules and the Notes.</v>
      </c>
      <c r="D219" s="360"/>
      <c r="E219" s="361">
        <f>'Unit Data from Audit Worksheet'!F267</f>
        <v>0</v>
      </c>
      <c r="F219" s="354">
        <f>IF(L219&lt;0,"Error: Enter as a positive.",)</f>
        <v>0</v>
      </c>
      <c r="G219" s="356"/>
      <c r="H219" s="353">
        <f>'Unit Data from Audit Worksheet'!I267</f>
        <v>0</v>
      </c>
      <c r="I219" s="38"/>
      <c r="J219" s="352">
        <v>602</v>
      </c>
      <c r="K219" s="26" t="s">
        <v>420</v>
      </c>
      <c r="L219" s="589">
        <f t="shared" si="20"/>
        <v>0</v>
      </c>
      <c r="M219" s="619"/>
      <c r="P219" s="323"/>
      <c r="W219" s="3" t="b">
        <f t="shared" si="23"/>
        <v>1</v>
      </c>
      <c r="X219" s="586">
        <f t="shared" si="21"/>
        <v>0</v>
      </c>
      <c r="Y219" s="586">
        <f t="shared" si="22"/>
        <v>0</v>
      </c>
    </row>
    <row r="220" spans="1:27" ht="123" customHeight="1" x14ac:dyDescent="0.25">
      <c r="A220" s="341">
        <f>'Unit Data from Audit Worksheet'!A268</f>
        <v>619</v>
      </c>
      <c r="B220" s="355"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48">
        <f>'Unit Data from Audit Worksheet'!F268</f>
        <v>0</v>
      </c>
      <c r="F220" s="354" t="str">
        <f>IF(H220=L220,"","Column L does not equal Column H")</f>
        <v/>
      </c>
      <c r="G220" s="356"/>
      <c r="H220" s="103">
        <f>ROUND(IFERROR((L219/L218)*100,0),1)</f>
        <v>0</v>
      </c>
      <c r="I220" s="38"/>
      <c r="J220" s="343">
        <v>619</v>
      </c>
      <c r="K220" s="102" t="s">
        <v>586</v>
      </c>
      <c r="L220" s="925">
        <f t="shared" si="20"/>
        <v>0</v>
      </c>
      <c r="M220" s="619"/>
      <c r="P220" s="620"/>
      <c r="Q220" s="621">
        <f>IF(H220=L220,0,1)</f>
        <v>0</v>
      </c>
      <c r="W220" s="3" t="b">
        <f t="shared" si="23"/>
        <v>1</v>
      </c>
      <c r="X220" s="586">
        <f t="shared" si="21"/>
        <v>0</v>
      </c>
      <c r="Y220" s="586">
        <f t="shared" si="22"/>
        <v>0</v>
      </c>
    </row>
    <row r="221" spans="1:27" ht="113.25" customHeight="1" x14ac:dyDescent="0.25">
      <c r="A221" s="341">
        <v>621</v>
      </c>
      <c r="B221" s="57" t="s">
        <v>444</v>
      </c>
      <c r="C221" s="622" t="str">
        <f>'Unit Data from Audit Worksheet'!D270</f>
        <v xml:space="preserve">Unit's share of Retirement Health Benefit Fund Net OPEB Liability ($s)
- unit of government is a participating employer in the State's RHBF </v>
      </c>
      <c r="D221" s="95"/>
      <c r="E221" s="361">
        <f>'Unit Data from Audit Worksheet'!F270</f>
        <v>0</v>
      </c>
      <c r="F221" s="354">
        <f>IF(L221&lt;0,"Error: Enter as a positive.",)</f>
        <v>0</v>
      </c>
      <c r="G221" s="128"/>
      <c r="H221" s="353"/>
      <c r="I221" s="38"/>
      <c r="J221" s="623">
        <v>621</v>
      </c>
      <c r="K221" s="129" t="s">
        <v>591</v>
      </c>
      <c r="L221" s="589">
        <f t="shared" si="20"/>
        <v>0</v>
      </c>
      <c r="M221" s="619"/>
      <c r="P221" s="623"/>
      <c r="Q221" s="295"/>
      <c r="W221" s="3" t="b">
        <f t="shared" si="23"/>
        <v>1</v>
      </c>
      <c r="X221" s="586">
        <f t="shared" si="21"/>
        <v>0</v>
      </c>
      <c r="Y221" s="586">
        <f t="shared" si="22"/>
        <v>0</v>
      </c>
    </row>
    <row r="222" spans="1:27" s="18" customFormat="1" ht="127.5" customHeight="1" x14ac:dyDescent="0.25">
      <c r="A222" s="618">
        <f>'Unit Data from Audit Worksheet'!A271</f>
        <v>547</v>
      </c>
      <c r="B222" s="355" t="str">
        <f>'Unit Data from Audit Worksheet'!C271</f>
        <v>OPEB Note</v>
      </c>
      <c r="C222" s="355"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60"/>
      <c r="E222" s="361">
        <f>'Unit Data from Audit Worksheet'!F271</f>
        <v>0</v>
      </c>
      <c r="F222" s="354" t="str">
        <f>IF(L225&lt;1,"Please answer this question","")</f>
        <v>Please answer this question</v>
      </c>
      <c r="G222" s="356"/>
      <c r="H222" s="353">
        <f>'Unit Data from Audit Worksheet'!I271</f>
        <v>0</v>
      </c>
      <c r="I222" s="38"/>
      <c r="J222" s="352">
        <v>547</v>
      </c>
      <c r="K222" s="624" t="s">
        <v>335</v>
      </c>
      <c r="L222" s="589">
        <f t="shared" si="20"/>
        <v>0</v>
      </c>
      <c r="M222" s="610"/>
      <c r="P222" s="323"/>
      <c r="Q222" s="579"/>
      <c r="R222" s="3"/>
      <c r="W222" s="3" t="b">
        <f t="shared" si="23"/>
        <v>1</v>
      </c>
      <c r="X222" s="586">
        <f t="shared" si="21"/>
        <v>0</v>
      </c>
      <c r="Y222" s="586">
        <f t="shared" si="22"/>
        <v>0</v>
      </c>
      <c r="AA222" s="3"/>
    </row>
    <row r="223" spans="1:27" s="18" customFormat="1" ht="99" customHeight="1" x14ac:dyDescent="0.25">
      <c r="A223" s="341">
        <f>'Unit Data from Audit Worksheet'!A272</f>
        <v>659</v>
      </c>
      <c r="B223" s="355" t="str">
        <f>'Unit Data from Audit Worksheet'!C272</f>
        <v>OPEB
 Note or RSI</v>
      </c>
      <c r="C223" s="340" t="str">
        <f>'Unit Data from Audit Worksheet'!D272</f>
        <v>Total OPEB benefits - total OPEB liability
If you do not provide benefit, please enter 0</v>
      </c>
      <c r="D223" s="360"/>
      <c r="E223" s="361">
        <f>'Unit Data from Audit Worksheet'!F272</f>
        <v>0</v>
      </c>
      <c r="F223" s="354">
        <f>IF(L223&lt;0,"Error: Enter as a positive.",)</f>
        <v>0</v>
      </c>
      <c r="G223" s="625" t="s">
        <v>1047</v>
      </c>
      <c r="H223" s="353">
        <f>'Unit Data from Audit Worksheet'!I272</f>
        <v>0</v>
      </c>
      <c r="I223" s="38"/>
      <c r="J223" s="343">
        <v>659</v>
      </c>
      <c r="K223" s="342" t="s">
        <v>542</v>
      </c>
      <c r="L223" s="603">
        <f t="shared" si="20"/>
        <v>0</v>
      </c>
      <c r="M223" s="610"/>
      <c r="P223" s="620"/>
      <c r="Q223" s="579"/>
      <c r="R223" s="3"/>
      <c r="W223" s="3" t="b">
        <f t="shared" si="23"/>
        <v>1</v>
      </c>
      <c r="X223" s="586">
        <f t="shared" si="21"/>
        <v>0</v>
      </c>
      <c r="Y223" s="586">
        <f t="shared" si="22"/>
        <v>0</v>
      </c>
      <c r="AA223" s="3"/>
    </row>
    <row r="224" spans="1:27" s="18" customFormat="1" ht="131.25" customHeight="1" x14ac:dyDescent="0.25">
      <c r="A224" s="341">
        <f>'Unit Data from Audit Worksheet'!A273</f>
        <v>660</v>
      </c>
      <c r="B224" s="355" t="str">
        <f>'Unit Data from Audit Worksheet'!C273</f>
        <v>OPEB
 Note or RSI</v>
      </c>
      <c r="C224" s="340" t="str">
        <f>'Unit Data from Audit Worksheet'!D273</f>
        <v>Total OPEB benefits- OPEB plan fiduciary net position
If no fiduciary net position, enter 0</v>
      </c>
      <c r="D224" s="360"/>
      <c r="E224" s="361">
        <f>'Unit Data from Audit Worksheet'!F273</f>
        <v>0</v>
      </c>
      <c r="F224" s="350">
        <f>IF(L224&lt;0,"Note: Number is normally positive.",)</f>
        <v>0</v>
      </c>
      <c r="G224" s="625" t="s">
        <v>1047</v>
      </c>
      <c r="H224" s="353">
        <f>'Unit Data from Audit Worksheet'!I273</f>
        <v>0</v>
      </c>
      <c r="I224" s="38"/>
      <c r="J224" s="343">
        <v>660</v>
      </c>
      <c r="K224" s="342" t="s">
        <v>543</v>
      </c>
      <c r="L224" s="603">
        <f t="shared" si="20"/>
        <v>0</v>
      </c>
      <c r="M224" s="610"/>
      <c r="P224" s="620"/>
      <c r="Q224" s="579"/>
      <c r="R224" s="3"/>
      <c r="W224" s="3" t="b">
        <f t="shared" si="23"/>
        <v>1</v>
      </c>
      <c r="X224" s="586">
        <f t="shared" si="21"/>
        <v>0</v>
      </c>
      <c r="Y224" s="586">
        <f t="shared" si="22"/>
        <v>0</v>
      </c>
      <c r="AA224" s="3"/>
    </row>
    <row r="225" spans="1:27" ht="134.25" customHeight="1" x14ac:dyDescent="0.25">
      <c r="A225" s="341">
        <f>'Unit Data from Audit Worksheet'!A274</f>
        <v>661</v>
      </c>
      <c r="B225" s="355" t="str">
        <f>'Unit Data from Audit Worksheet'!C274</f>
        <v>OPEB
RSI</v>
      </c>
      <c r="C225" s="340"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9">
        <f>'Unit Data from Audit Worksheet'!F274</f>
        <v>0</v>
      </c>
      <c r="F225" s="354" t="str">
        <f>IF(H225=L225,"","Column L does not equal Column H")</f>
        <v/>
      </c>
      <c r="G225" s="625" t="s">
        <v>1047</v>
      </c>
      <c r="H225" s="173">
        <f>ROUND(IFERROR((L224/L223)*100,0),1)</f>
        <v>0</v>
      </c>
      <c r="I225" s="38"/>
      <c r="J225" s="343">
        <v>661</v>
      </c>
      <c r="K225" s="358" t="s">
        <v>546</v>
      </c>
      <c r="L225" s="626">
        <f>IF(D225="",E225,D225)</f>
        <v>0</v>
      </c>
      <c r="P225" s="620"/>
      <c r="Q225" s="621">
        <f>IF(H225=L225,0,1)</f>
        <v>0</v>
      </c>
      <c r="W225" s="3" t="b">
        <f t="shared" si="23"/>
        <v>1</v>
      </c>
      <c r="X225" s="586">
        <f t="shared" si="21"/>
        <v>0</v>
      </c>
      <c r="Y225" s="586">
        <f t="shared" si="22"/>
        <v>0</v>
      </c>
    </row>
    <row r="226" spans="1:27" ht="65.25" customHeight="1" x14ac:dyDescent="0.25">
      <c r="A226" s="341">
        <f>'Unit Data from Audit Worksheet'!A277</f>
        <v>371</v>
      </c>
      <c r="B226" s="355" t="str">
        <f>'Unit Data from Audit Worksheet'!C277</f>
        <v>Transfer Note</v>
      </c>
      <c r="C226" s="340" t="str">
        <f>'Unit Data from Audit Worksheet'!D277</f>
        <v>Amount of Transfers from the General Fund to the Debt Service Fund (Enter as positive)</v>
      </c>
      <c r="D226" s="360"/>
      <c r="E226" s="361">
        <f>'Unit Data from Audit Worksheet'!F277</f>
        <v>0</v>
      </c>
      <c r="F226" s="354">
        <f>IF(L226&lt;0,"Error: Enter as a positive.",)</f>
        <v>0</v>
      </c>
      <c r="G226" s="356"/>
      <c r="H226" s="353">
        <f>'Unit Data from Audit Worksheet'!I277</f>
        <v>0</v>
      </c>
      <c r="I226" s="38"/>
      <c r="J226" s="39">
        <v>371</v>
      </c>
      <c r="K226" s="351" t="s">
        <v>262</v>
      </c>
      <c r="L226" s="589">
        <f t="shared" si="20"/>
        <v>0</v>
      </c>
      <c r="P226" s="329"/>
      <c r="Q226" s="3"/>
      <c r="W226" s="3" t="b">
        <f t="shared" si="23"/>
        <v>1</v>
      </c>
      <c r="X226" s="586">
        <f t="shared" si="21"/>
        <v>0</v>
      </c>
      <c r="Y226" s="586">
        <f t="shared" si="22"/>
        <v>0</v>
      </c>
    </row>
    <row r="227" spans="1:27" ht="63" customHeight="1" x14ac:dyDescent="0.25">
      <c r="A227" s="341">
        <f>'Unit Data from Audit Worksheet'!A278</f>
        <v>513</v>
      </c>
      <c r="B227" s="355" t="str">
        <f>'Unit Data from Audit Worksheet'!C278</f>
        <v>Transfer Note</v>
      </c>
      <c r="C227" s="340" t="str">
        <f>'Unit Data from Audit Worksheet'!D278</f>
        <v>Amount of Transfers from the General Fund to the Electric Fund  (Enter as positive)</v>
      </c>
      <c r="D227" s="360"/>
      <c r="E227" s="361">
        <f>'Unit Data from Audit Worksheet'!F278</f>
        <v>0</v>
      </c>
      <c r="F227" s="354">
        <f>IF(L227&lt;0,"Error: Enter as a positive.",)</f>
        <v>0</v>
      </c>
      <c r="G227" s="356"/>
      <c r="H227" s="353">
        <f>'Unit Data from Audit Worksheet'!I278</f>
        <v>0</v>
      </c>
      <c r="I227" s="38"/>
      <c r="J227" s="352">
        <v>513</v>
      </c>
      <c r="K227" s="351" t="s">
        <v>263</v>
      </c>
      <c r="L227" s="589">
        <f t="shared" si="20"/>
        <v>0</v>
      </c>
      <c r="P227" s="323"/>
      <c r="W227" s="3" t="b">
        <f t="shared" si="23"/>
        <v>1</v>
      </c>
      <c r="X227" s="586">
        <f t="shared" si="21"/>
        <v>0</v>
      </c>
      <c r="Y227" s="586">
        <f t="shared" si="22"/>
        <v>0</v>
      </c>
    </row>
    <row r="228" spans="1:27" ht="89.25" customHeight="1" x14ac:dyDescent="0.25">
      <c r="A228" s="341">
        <f>'Unit Data from Audit Worksheet'!A279</f>
        <v>514</v>
      </c>
      <c r="B228" s="355" t="str">
        <f>'Unit Data from Audit Worksheet'!C279</f>
        <v>Transfer Note</v>
      </c>
      <c r="C228" s="340" t="str">
        <f>'Unit Data from Audit Worksheet'!D279</f>
        <v>Amount of Transfers from the Electric Fund to the General Fund  (Enter as positive)
Include:  Payment in Lieu of Taxes (PILOT)</v>
      </c>
      <c r="D228" s="360"/>
      <c r="E228" s="361">
        <f>'Unit Data from Audit Worksheet'!F279</f>
        <v>0</v>
      </c>
      <c r="F228" s="354">
        <f>IF(L228&lt;0,"Error: Enter as a positive.",)</f>
        <v>0</v>
      </c>
      <c r="G228" s="356"/>
      <c r="H228" s="353">
        <f>'Unit Data from Audit Worksheet'!I279</f>
        <v>0</v>
      </c>
      <c r="I228" s="38"/>
      <c r="J228" s="352">
        <v>514</v>
      </c>
      <c r="K228" s="351" t="s">
        <v>264</v>
      </c>
      <c r="L228" s="589">
        <f t="shared" si="20"/>
        <v>0</v>
      </c>
      <c r="P228" s="323"/>
      <c r="W228" s="3" t="b">
        <f t="shared" si="23"/>
        <v>1</v>
      </c>
      <c r="X228" s="586">
        <f t="shared" si="21"/>
        <v>0</v>
      </c>
      <c r="Y228" s="586">
        <f t="shared" si="22"/>
        <v>0</v>
      </c>
    </row>
    <row r="229" spans="1:27" ht="89.25" customHeight="1" x14ac:dyDescent="0.25">
      <c r="A229" s="605">
        <f>'Unit Data from Audit Worksheet'!A280</f>
        <v>990</v>
      </c>
      <c r="B229" s="359" t="str">
        <f>'Unit Data from Audit Worksheet'!C280</f>
        <v>Transfer Note</v>
      </c>
      <c r="C229" s="606" t="str">
        <f>'Unit Data from Audit Worksheet'!D280</f>
        <v>Amount of transfer out to the General Fund that is for Payment in Lieu of Taxes (PILOT)</v>
      </c>
      <c r="D229" s="360"/>
      <c r="E229" s="361">
        <f>'Unit Data from Audit Worksheet'!F280</f>
        <v>0</v>
      </c>
      <c r="F229" s="354"/>
      <c r="G229" s="356"/>
      <c r="H229" s="353">
        <f>'Unit Data from Audit Worksheet'!I280</f>
        <v>0</v>
      </c>
      <c r="I229" s="38"/>
      <c r="J229" s="370">
        <v>990</v>
      </c>
      <c r="K229" s="126" t="s">
        <v>771</v>
      </c>
      <c r="L229" s="589">
        <f t="shared" si="20"/>
        <v>0</v>
      </c>
      <c r="P229" s="323"/>
      <c r="X229" s="586"/>
      <c r="Y229" s="586"/>
    </row>
    <row r="230" spans="1:27" ht="84.75" customHeight="1" x14ac:dyDescent="0.25">
      <c r="A230" s="627">
        <f>'Unit Data from Audit Worksheet'!A282</f>
        <v>6</v>
      </c>
      <c r="B230" s="53" t="str">
        <f>'Unit Data from Audit Worksheet'!C282</f>
        <v>Fund Balance Note</v>
      </c>
      <c r="C230" s="599" t="str">
        <f>'Unit Data from Audit Worksheet'!D282</f>
        <v>General Fund -  Total Encumbrances.  You will probably have to refer to the note disclosure where the amount of encumbrances is listed.</v>
      </c>
      <c r="D230" s="360"/>
      <c r="E230" s="152">
        <f>'Unit Data from Audit Worksheet'!F282</f>
        <v>0</v>
      </c>
      <c r="F230" s="37">
        <f>IF(L230&lt;0,"Error: Enter as a positive.",)</f>
        <v>0</v>
      </c>
      <c r="G230" s="73"/>
      <c r="H230" s="353">
        <f>'Unit Data from Audit Worksheet'!I282</f>
        <v>0</v>
      </c>
      <c r="I230" s="38"/>
      <c r="J230" s="41">
        <v>6</v>
      </c>
      <c r="K230" s="133" t="s">
        <v>265</v>
      </c>
      <c r="L230" s="589">
        <f t="shared" si="20"/>
        <v>0</v>
      </c>
      <c r="P230" s="323"/>
      <c r="W230" s="3" t="b">
        <f t="shared" ref="W230:W258" si="24">EXACT(A230,J230)</f>
        <v>1</v>
      </c>
      <c r="X230" s="586">
        <f t="shared" si="21"/>
        <v>0</v>
      </c>
      <c r="Y230" s="586">
        <f t="shared" si="22"/>
        <v>0</v>
      </c>
    </row>
    <row r="231" spans="1:27" ht="117.75" customHeight="1" x14ac:dyDescent="0.25">
      <c r="A231" s="341">
        <f>'Unit Data from Audit Worksheet'!A284</f>
        <v>541</v>
      </c>
      <c r="B231" s="355" t="str">
        <f>'Unit Data from Audit Worksheet'!C284</f>
        <v>Water Sewer - Budget Actual Statement</v>
      </c>
      <c r="C231" s="355"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60"/>
      <c r="E231" s="361">
        <f>'Unit Data from Audit Worksheet'!F284</f>
        <v>0</v>
      </c>
      <c r="F231" s="354"/>
      <c r="G231" s="356"/>
      <c r="H231" s="353">
        <f>'Unit Data from Audit Worksheet'!I284</f>
        <v>0</v>
      </c>
      <c r="I231" s="38"/>
      <c r="J231" s="352">
        <v>541</v>
      </c>
      <c r="K231" s="88" t="s">
        <v>349</v>
      </c>
      <c r="L231" s="589">
        <f t="shared" si="20"/>
        <v>0</v>
      </c>
      <c r="P231" s="323"/>
      <c r="W231" s="3" t="b">
        <f t="shared" si="24"/>
        <v>1</v>
      </c>
      <c r="X231" s="586">
        <f t="shared" si="21"/>
        <v>0</v>
      </c>
      <c r="Y231" s="586">
        <f t="shared" si="22"/>
        <v>0</v>
      </c>
    </row>
    <row r="232" spans="1:27" ht="94.5" customHeight="1" x14ac:dyDescent="0.25">
      <c r="A232" s="341">
        <f>'Unit Data from Audit Worksheet'!A286</f>
        <v>542</v>
      </c>
      <c r="B232" s="355" t="str">
        <f>'Unit Data from Audit Worksheet'!C286</f>
        <v>Water Sewer - Disclosed in the Notes or in the recently approved Budget for next year.</v>
      </c>
      <c r="C232" s="340" t="str">
        <f>'Unit Data from Audit Worksheet'!D286</f>
        <v>Amount of the Water Sewer Fund Balance appropriated in next year's budget?</v>
      </c>
      <c r="D232" s="360"/>
      <c r="E232" s="361">
        <f>'Unit Data from Audit Worksheet'!F286</f>
        <v>0</v>
      </c>
      <c r="F232" s="354"/>
      <c r="G232" s="356"/>
      <c r="H232" s="353">
        <f>'Unit Data from Audit Worksheet'!I286</f>
        <v>0</v>
      </c>
      <c r="I232" s="38"/>
      <c r="J232" s="352">
        <v>542</v>
      </c>
      <c r="K232" s="351" t="s">
        <v>266</v>
      </c>
      <c r="L232" s="589">
        <f t="shared" si="20"/>
        <v>0</v>
      </c>
      <c r="N232" s="61" t="s">
        <v>340</v>
      </c>
      <c r="P232" s="323"/>
      <c r="W232" s="3" t="b">
        <f t="shared" si="24"/>
        <v>1</v>
      </c>
      <c r="X232" s="586">
        <f t="shared" si="21"/>
        <v>0</v>
      </c>
      <c r="Y232" s="586">
        <f t="shared" si="22"/>
        <v>0</v>
      </c>
    </row>
    <row r="233" spans="1:27" ht="93.75" customHeight="1" x14ac:dyDescent="0.25">
      <c r="A233" s="341">
        <f>'Unit Data from Audit Worksheet'!A289</f>
        <v>528</v>
      </c>
      <c r="B233" s="355" t="str">
        <f>'Unit Data from Audit Worksheet'!C289</f>
        <v>Analysis of Current Tax Levy Schedule</v>
      </c>
      <c r="C233" s="340" t="str">
        <f>'Unit Data from Audit Worksheet'!D289</f>
        <v>Please enter the Net Current year's levy for property excluding registered motor vehicles-- (after adjusting for discoveries and abatements)
Exclude Supplemental Taxes</v>
      </c>
      <c r="D233" s="360"/>
      <c r="E233" s="361">
        <f>'Unit Data from Audit Worksheet'!F289</f>
        <v>0</v>
      </c>
      <c r="F233" s="82" t="str">
        <f>IF(L233=0,"Must be completed if unit levys taxes","")</f>
        <v>Must be completed if unit levys taxes</v>
      </c>
      <c r="G233" s="356"/>
      <c r="H233" s="353"/>
      <c r="I233" s="38"/>
      <c r="J233" s="352">
        <v>528</v>
      </c>
      <c r="K233" s="628" t="s">
        <v>271</v>
      </c>
      <c r="L233" s="589">
        <f t="shared" si="20"/>
        <v>0</v>
      </c>
      <c r="N233" s="83"/>
      <c r="P233" s="323"/>
      <c r="W233" s="3" t="b">
        <f t="shared" si="24"/>
        <v>1</v>
      </c>
      <c r="X233" s="586">
        <f t="shared" si="21"/>
        <v>0</v>
      </c>
      <c r="Y233" s="586">
        <f t="shared" si="22"/>
        <v>0</v>
      </c>
    </row>
    <row r="234" spans="1:27" s="18" customFormat="1" ht="79.5" customHeight="1" x14ac:dyDescent="0.25">
      <c r="A234" s="341">
        <f>'Unit Data from Audit Worksheet'!A290</f>
        <v>529</v>
      </c>
      <c r="B234" s="355" t="str">
        <f>'Unit Data from Audit Worksheet'!C290</f>
        <v>Analysis of Current Tax Levy Schedule</v>
      </c>
      <c r="C234" s="340" t="str">
        <f>'Unit Data from Audit Worksheet'!D290</f>
        <v>Please enter the Net Current year's levy -- Motor vehicles (only) (after adjusting for discoveries and abatements)
Exclude supplemental taxes</v>
      </c>
      <c r="D234" s="360"/>
      <c r="E234" s="361">
        <f>'Unit Data from Audit Worksheet'!F290</f>
        <v>0</v>
      </c>
      <c r="F234" s="82" t="str">
        <f>IF(L234=0,"Must be completed if unit levys taxes","")</f>
        <v>Must be completed if unit levys taxes</v>
      </c>
      <c r="G234" s="356"/>
      <c r="H234" s="353"/>
      <c r="I234" s="38"/>
      <c r="J234" s="352">
        <v>529</v>
      </c>
      <c r="K234" s="628" t="s">
        <v>272</v>
      </c>
      <c r="L234" s="589">
        <f t="shared" si="20"/>
        <v>0</v>
      </c>
      <c r="N234" s="83"/>
      <c r="P234" s="323"/>
      <c r="Q234" s="579"/>
      <c r="R234" s="3"/>
      <c r="W234" s="3" t="b">
        <f t="shared" si="24"/>
        <v>1</v>
      </c>
      <c r="X234" s="586">
        <f t="shared" si="21"/>
        <v>0</v>
      </c>
      <c r="Y234" s="586">
        <f t="shared" si="22"/>
        <v>0</v>
      </c>
      <c r="AA234" s="3"/>
    </row>
    <row r="235" spans="1:27" s="18" customFormat="1" ht="75" customHeight="1" x14ac:dyDescent="0.25">
      <c r="A235" s="341">
        <f>'Unit Data from Audit Worksheet'!A291</f>
        <v>530</v>
      </c>
      <c r="B235" s="355" t="str">
        <f>'Unit Data from Audit Worksheet'!C291</f>
        <v>Analysis of Current Tax Levy Schedule</v>
      </c>
      <c r="C235" s="340" t="str">
        <f>'Unit Data from Audit Worksheet'!D291</f>
        <v>Uncollected Taxes - Curr Year's Levy Exclude Motor Vehicles
Exclude supplemental taxes</v>
      </c>
      <c r="D235" s="360"/>
      <c r="E235" s="361">
        <f>'Unit Data from Audit Worksheet'!F291</f>
        <v>0</v>
      </c>
      <c r="F235" s="82" t="str">
        <f>IF(L235=0,"Must be completed if unit levys taxes","")</f>
        <v>Must be completed if unit levys taxes</v>
      </c>
      <c r="G235" s="356"/>
      <c r="H235" s="353"/>
      <c r="I235" s="38"/>
      <c r="J235" s="352">
        <v>530</v>
      </c>
      <c r="K235" s="628" t="s">
        <v>273</v>
      </c>
      <c r="L235" s="589">
        <f t="shared" ref="L235:L241" si="25">IF(D235="",E235,D235)</f>
        <v>0</v>
      </c>
      <c r="N235" s="83"/>
      <c r="P235" s="323"/>
      <c r="Q235" s="579"/>
      <c r="R235" s="3"/>
      <c r="W235" s="3" t="b">
        <f t="shared" si="24"/>
        <v>1</v>
      </c>
      <c r="X235" s="586">
        <f t="shared" si="21"/>
        <v>0</v>
      </c>
      <c r="Y235" s="586">
        <f t="shared" si="22"/>
        <v>0</v>
      </c>
      <c r="AA235" s="3"/>
    </row>
    <row r="236" spans="1:27" s="18" customFormat="1" ht="68.25" customHeight="1" x14ac:dyDescent="0.25">
      <c r="A236" s="341">
        <f>'Unit Data from Audit Worksheet'!A292</f>
        <v>531</v>
      </c>
      <c r="B236" s="355" t="str">
        <f>'Unit Data from Audit Worksheet'!C292</f>
        <v>Analysis of Current Tax Levy Schedule</v>
      </c>
      <c r="C236" s="340" t="str">
        <f>'Unit Data from Audit Worksheet'!D292</f>
        <v>Uncollected Taxes - Curr Year's Levy Motor Vehicles
Exclude supplemental taxes</v>
      </c>
      <c r="D236" s="360"/>
      <c r="E236" s="361">
        <f>'Unit Data from Audit Worksheet'!F292</f>
        <v>0</v>
      </c>
      <c r="F236" s="82" t="str">
        <f>IF(L236=0,"Must be completed if unit levys taxes","")</f>
        <v>Must be completed if unit levys taxes</v>
      </c>
      <c r="G236" s="356"/>
      <c r="H236" s="353"/>
      <c r="I236" s="38"/>
      <c r="J236" s="352">
        <v>531</v>
      </c>
      <c r="K236" s="628" t="s">
        <v>274</v>
      </c>
      <c r="L236" s="589">
        <f t="shared" si="25"/>
        <v>0</v>
      </c>
      <c r="N236" s="83" t="str">
        <f>IF(T240=0,"Must be completed if unit levys taxes, zero acceptable if Motor Vehicle collection rate is 100%","")</f>
        <v>Must be completed if unit levys taxes, zero acceptable if Motor Vehicle collection rate is 100%</v>
      </c>
      <c r="P236" s="323"/>
      <c r="Q236" s="579"/>
      <c r="R236" s="3"/>
      <c r="W236" s="3" t="b">
        <f t="shared" si="24"/>
        <v>1</v>
      </c>
      <c r="X236" s="586">
        <f t="shared" si="21"/>
        <v>0</v>
      </c>
      <c r="Y236" s="586">
        <f t="shared" si="22"/>
        <v>0</v>
      </c>
      <c r="AA236" s="3"/>
    </row>
    <row r="237" spans="1:27" ht="90.75" customHeight="1" x14ac:dyDescent="0.25">
      <c r="A237" s="341">
        <f>'Unit Data from Audit Worksheet'!A293</f>
        <v>61</v>
      </c>
      <c r="B237" s="355" t="str">
        <f>'Unit Data from Audit Worksheet'!C293</f>
        <v>Analysis of Current Tax Levy Schedule</v>
      </c>
      <c r="C237" s="340" t="str">
        <f>'Unit Data from Audit Worksheet'!D293</f>
        <v>Tax collection rate- Total Levy UNIT-WIDE
Exclude supplemental taxes
(Enter as a percentage with two decimal places)</v>
      </c>
      <c r="D237" s="89"/>
      <c r="E237" s="149">
        <f>'Unit Data from Audit Worksheet'!F293</f>
        <v>0</v>
      </c>
      <c r="F237" s="87" t="str">
        <f>IF(L237=H237,"","Column H calculates the percentage using accounts 528, 529, 530, 531, please enter the correct amounts from the audit schedule for these cells")</f>
        <v/>
      </c>
      <c r="G237" s="356" t="str">
        <f>IF(Q237=1," Included in error count"," ")</f>
        <v xml:space="preserve"> </v>
      </c>
      <c r="H237" s="356">
        <f>ROUND(IFERROR(((L233+L234)-(L235+L236))/(L233+L234)*100,0),2)</f>
        <v>0</v>
      </c>
      <c r="I237" s="38"/>
      <c r="J237" s="352">
        <v>61</v>
      </c>
      <c r="K237" s="58" t="s">
        <v>268</v>
      </c>
      <c r="L237" s="629">
        <f t="shared" si="25"/>
        <v>0</v>
      </c>
      <c r="N237" s="83"/>
      <c r="P237" s="323"/>
      <c r="Q237" s="579">
        <f>IF(L237-H237&lt;&gt;0,1,0)</f>
        <v>0</v>
      </c>
      <c r="W237" s="3" t="b">
        <f t="shared" si="24"/>
        <v>1</v>
      </c>
      <c r="X237" s="586">
        <f t="shared" si="21"/>
        <v>0</v>
      </c>
      <c r="Y237" s="586">
        <f t="shared" si="22"/>
        <v>0</v>
      </c>
    </row>
    <row r="238" spans="1:27" ht="89.25" customHeight="1" x14ac:dyDescent="0.25">
      <c r="A238" s="341">
        <f>'Unit Data from Audit Worksheet'!A294</f>
        <v>102</v>
      </c>
      <c r="B238" s="355" t="str">
        <f>'Unit Data from Audit Worksheet'!C294</f>
        <v>Analysis of Current Tax Levy Schedule</v>
      </c>
      <c r="C238" s="340" t="str">
        <f>'Unit Data from Audit Worksheet'!D294</f>
        <v>Tax collection rate - Excluding Registered motor vehicles
Exclude supplemental taxes
(Enter as a percentage with two decimal places)</v>
      </c>
      <c r="D238" s="89"/>
      <c r="E238" s="149">
        <f>'Unit Data from Audit Worksheet'!F294</f>
        <v>0</v>
      </c>
      <c r="F238" s="87" t="str">
        <f>IF(L238=H238,"","Column H calculates the percentage using accounts 528 and 530,  please enter the correct amounts from the audit schedule for these cells")</f>
        <v/>
      </c>
      <c r="G238" s="356" t="str">
        <f>IF(Q238=1," Included in error count"," ")</f>
        <v xml:space="preserve"> </v>
      </c>
      <c r="H238" s="356">
        <f>ROUND(IFERROR(((L233)-(L235))/(L233)*100,0),2)</f>
        <v>0</v>
      </c>
      <c r="I238" s="38"/>
      <c r="J238" s="352">
        <v>102</v>
      </c>
      <c r="K238" s="58" t="s">
        <v>269</v>
      </c>
      <c r="L238" s="629">
        <f t="shared" si="25"/>
        <v>0</v>
      </c>
      <c r="N238" s="83"/>
      <c r="P238" s="323"/>
      <c r="Q238" s="579">
        <f>IF(L238-H238&lt;&gt;0,1,0)</f>
        <v>0</v>
      </c>
      <c r="W238" s="3" t="b">
        <f t="shared" si="24"/>
        <v>1</v>
      </c>
      <c r="X238" s="586">
        <f t="shared" si="21"/>
        <v>0</v>
      </c>
      <c r="Y238" s="586">
        <f t="shared" si="22"/>
        <v>0</v>
      </c>
    </row>
    <row r="239" spans="1:27" ht="87.75" customHeight="1" x14ac:dyDescent="0.25">
      <c r="A239" s="341">
        <f>'Unit Data from Audit Worksheet'!A295</f>
        <v>103</v>
      </c>
      <c r="B239" s="355" t="str">
        <f>'Unit Data from Audit Worksheet'!C295</f>
        <v>Analysis of Current Tax Levy Schedule</v>
      </c>
      <c r="C239" s="340" t="str">
        <f>'Unit Data from Audit Worksheet'!D295</f>
        <v>Tax collection rate - Registered motor vehicles
Exclude supplemental taxes
(Enter as a percentage with two decimal places)</v>
      </c>
      <c r="D239" s="89"/>
      <c r="E239" s="149">
        <f>'Unit Data from Audit Worksheet'!F295</f>
        <v>0</v>
      </c>
      <c r="F239" s="87" t="str">
        <f>IF(L239=H239,"","Column H calculates the percentage using accounts 529 and 531, please enter the correct amounts from the audit schedule for these cells")</f>
        <v/>
      </c>
      <c r="G239" s="356" t="str">
        <f>IF(Q239=1," Included in error count"," ")</f>
        <v xml:space="preserve"> </v>
      </c>
      <c r="H239" s="356">
        <f>ROUND(IFERROR(((L234)-(L236))/(L234)*100,0),2)</f>
        <v>0</v>
      </c>
      <c r="I239" s="38"/>
      <c r="J239" s="352">
        <v>103</v>
      </c>
      <c r="K239" s="58" t="s">
        <v>270</v>
      </c>
      <c r="L239" s="629">
        <f t="shared" si="25"/>
        <v>0</v>
      </c>
      <c r="N239" s="83"/>
      <c r="P239" s="323"/>
      <c r="Q239" s="579">
        <f>IF(L239-H239&lt;&gt;0,1,0)</f>
        <v>0</v>
      </c>
      <c r="W239" s="3" t="b">
        <f t="shared" si="24"/>
        <v>1</v>
      </c>
      <c r="X239" s="586">
        <f t="shared" si="21"/>
        <v>0</v>
      </c>
      <c r="Y239" s="586">
        <f t="shared" si="22"/>
        <v>0</v>
      </c>
    </row>
    <row r="240" spans="1:27" ht="86.25" customHeight="1" x14ac:dyDescent="0.25">
      <c r="A240" s="341">
        <f>'Unit Data from Audit Worksheet'!A296</f>
        <v>544</v>
      </c>
      <c r="B240" s="355" t="str">
        <f>'Unit Data from Audit Worksheet'!C296</f>
        <v>Analysis of Current Tax Levy Schedule</v>
      </c>
      <c r="C240" s="340" t="str">
        <f>'Unit Data from Audit Worksheet'!D296</f>
        <v>Property Tax Increase for Year Audited- enter amount of  increase in cents per $100 - leave blank if no increase 
Exclude supplemental taxes</v>
      </c>
      <c r="D240" s="360"/>
      <c r="E240" s="146">
        <f>'Unit Data from Audit Worksheet'!F296</f>
        <v>0</v>
      </c>
      <c r="F240" s="104"/>
      <c r="G240" s="356"/>
      <c r="H240" s="353">
        <f>'Unit Data from Audit Worksheet'!I296</f>
        <v>0</v>
      </c>
      <c r="I240" s="38"/>
      <c r="J240" s="352">
        <v>544</v>
      </c>
      <c r="K240" s="58" t="s">
        <v>53</v>
      </c>
      <c r="L240" s="630">
        <f t="shared" si="25"/>
        <v>0</v>
      </c>
      <c r="N240" s="61" t="s">
        <v>340</v>
      </c>
      <c r="P240" s="323"/>
      <c r="W240" s="3" t="b">
        <f t="shared" si="24"/>
        <v>1</v>
      </c>
      <c r="X240" s="586">
        <f t="shared" si="21"/>
        <v>0</v>
      </c>
      <c r="Y240" s="586">
        <f t="shared" si="22"/>
        <v>0</v>
      </c>
    </row>
    <row r="241" spans="1:25" ht="93.75" customHeight="1" x14ac:dyDescent="0.25">
      <c r="A241" s="341">
        <f>'Unit Data from Audit Worksheet'!A297</f>
        <v>545</v>
      </c>
      <c r="B241" s="355" t="str">
        <f>'Unit Data from Audit Worksheet'!C297</f>
        <v>Analysis of Current Tax Levy Schedule</v>
      </c>
      <c r="C241" s="340" t="str">
        <f>'Unit Data from Audit Worksheet'!D297</f>
        <v>Property Tax Increase for budget year after fiscal year being reported - enter amount of increase in cents per $100- leave blank if no increase
Exclude supplemental taxes</v>
      </c>
      <c r="D241" s="360"/>
      <c r="E241" s="146">
        <f>'Unit Data from Audit Worksheet'!F297</f>
        <v>0</v>
      </c>
      <c r="F241" s="354"/>
      <c r="G241" s="356"/>
      <c r="H241" s="353">
        <f>'Unit Data from Audit Worksheet'!I297</f>
        <v>0</v>
      </c>
      <c r="I241" s="38"/>
      <c r="J241" s="105">
        <v>545</v>
      </c>
      <c r="K241" s="58" t="s">
        <v>54</v>
      </c>
      <c r="L241" s="630">
        <f t="shared" si="25"/>
        <v>0</v>
      </c>
      <c r="N241" s="61" t="s">
        <v>340</v>
      </c>
      <c r="O241" s="598"/>
      <c r="P241" s="324"/>
      <c r="W241" s="3" t="b">
        <f t="shared" si="24"/>
        <v>1</v>
      </c>
      <c r="X241" s="586">
        <f t="shared" si="21"/>
        <v>0</v>
      </c>
      <c r="Y241" s="586">
        <f t="shared" si="22"/>
        <v>0</v>
      </c>
    </row>
    <row r="242" spans="1:25" ht="72.75" customHeight="1" x14ac:dyDescent="0.25">
      <c r="A242" s="341">
        <f>'Unit Data from Audit Worksheet'!A298</f>
        <v>624</v>
      </c>
      <c r="B242" s="355"/>
      <c r="C242" s="340" t="str">
        <f>'Unit Data from Audit Worksheet'!D298</f>
        <v>Does the County collect real estate property taxes on your behalf? Select "1" for "yes and "2" for "No"</v>
      </c>
      <c r="D242" s="360"/>
      <c r="E242" s="154">
        <f>'Unit Data from Audit Worksheet'!F298</f>
        <v>0</v>
      </c>
      <c r="F242" s="354"/>
      <c r="G242" s="356"/>
      <c r="H242" s="353"/>
      <c r="I242" s="38"/>
      <c r="J242" s="105">
        <v>624</v>
      </c>
      <c r="K242" s="58" t="s">
        <v>452</v>
      </c>
      <c r="L242" s="589">
        <f t="shared" ref="L242:L259" si="26">IF(D242="",E242,D242)</f>
        <v>0</v>
      </c>
      <c r="P242" s="324"/>
      <c r="W242" s="3" t="b">
        <f t="shared" si="24"/>
        <v>1</v>
      </c>
      <c r="X242" s="586">
        <f t="shared" si="21"/>
        <v>0</v>
      </c>
      <c r="Y242" s="586">
        <f t="shared" si="22"/>
        <v>0</v>
      </c>
    </row>
    <row r="243" spans="1:25" ht="72.75" customHeight="1" x14ac:dyDescent="0.25">
      <c r="A243" s="341">
        <f>'Unit Data from Audit Worksheet'!A299</f>
        <v>648</v>
      </c>
      <c r="B243" s="355"/>
      <c r="C243" s="340" t="str">
        <f>'Unit Data from Audit Worksheet'!D299</f>
        <v>Please enter your tax rate for ad valorem in effect for fiscal year audited.  Example 60 cents per 100 would be entered as .60</v>
      </c>
      <c r="D243" s="360"/>
      <c r="E243" s="154">
        <f>'Unit Data from Audit Worksheet'!F299</f>
        <v>0</v>
      </c>
      <c r="F243" s="354"/>
      <c r="G243" s="356"/>
      <c r="H243" s="353"/>
      <c r="I243" s="38"/>
      <c r="J243" s="105">
        <v>648</v>
      </c>
      <c r="K243" s="631" t="s">
        <v>851</v>
      </c>
      <c r="L243" s="632">
        <f t="shared" si="26"/>
        <v>0</v>
      </c>
      <c r="P243" s="324"/>
      <c r="W243" s="3" t="b">
        <f t="shared" si="24"/>
        <v>1</v>
      </c>
      <c r="X243" s="586"/>
      <c r="Y243" s="586"/>
    </row>
    <row r="244" spans="1:25" ht="161.25" customHeight="1" x14ac:dyDescent="0.25">
      <c r="A244" s="605">
        <f>'Unit Data from Audit Worksheet'!A300</f>
        <v>991</v>
      </c>
      <c r="B244" s="359"/>
      <c r="C244" s="606"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60"/>
      <c r="E244" s="154">
        <f>'Unit Data from Audit Worksheet'!F300</f>
        <v>0</v>
      </c>
      <c r="F244" s="354"/>
      <c r="G244" s="356"/>
      <c r="H244" s="353" t="str">
        <f>'Unit Data from Audit Worksheet'!H300</f>
        <v>Avery, Bladen, Chowan, Craven, Duplin, Guilford, Harnett, Hoke, Jones, Mitchell, Onslow, Pasquotank, Watauga</v>
      </c>
      <c r="I244" s="38"/>
      <c r="J244" s="338">
        <v>991</v>
      </c>
      <c r="K244" s="616" t="s">
        <v>1554</v>
      </c>
      <c r="L244" s="589">
        <f t="shared" si="26"/>
        <v>0</v>
      </c>
      <c r="P244" s="324"/>
      <c r="W244" s="3" t="b">
        <f t="shared" si="24"/>
        <v>1</v>
      </c>
      <c r="X244" s="586"/>
      <c r="Y244" s="586"/>
    </row>
    <row r="245" spans="1:25" ht="87.75" customHeight="1" x14ac:dyDescent="0.25">
      <c r="A245" s="341">
        <f>'Unit Data from Audit Worksheet'!A302</f>
        <v>620</v>
      </c>
      <c r="B245" s="355"/>
      <c r="C245" s="340" t="str">
        <f>'Unit Data from Audit Worksheet'!D302</f>
        <v>Do you expect to issue debt requiring LGC approval within 12 months from the date that the audit is submitted - select "1" for yes and "2" for no</v>
      </c>
      <c r="D245" s="360"/>
      <c r="E245" s="154">
        <f>'Unit Data from Audit Worksheet'!F302</f>
        <v>0</v>
      </c>
      <c r="F245" s="354"/>
      <c r="G245" s="356"/>
      <c r="H245" s="353">
        <f>'Unit Data from Audit Worksheet'!I302</f>
        <v>0</v>
      </c>
      <c r="I245" s="38"/>
      <c r="J245" s="105">
        <v>620</v>
      </c>
      <c r="K245" s="58" t="s">
        <v>840</v>
      </c>
      <c r="L245" s="589">
        <f t="shared" si="26"/>
        <v>0</v>
      </c>
      <c r="N245" s="138"/>
      <c r="P245" s="324"/>
      <c r="W245" s="3" t="b">
        <f t="shared" si="24"/>
        <v>1</v>
      </c>
      <c r="X245" s="586">
        <f t="shared" si="21"/>
        <v>0</v>
      </c>
      <c r="Y245" s="586">
        <f t="shared" si="22"/>
        <v>0</v>
      </c>
    </row>
    <row r="246" spans="1:25" ht="87.75" customHeight="1" x14ac:dyDescent="0.25">
      <c r="A246" s="605">
        <f>+'TD Info Completed by Auditor'!D41</f>
        <v>906</v>
      </c>
      <c r="B246" s="337" t="s">
        <v>837</v>
      </c>
      <c r="C246" s="605" t="str">
        <f>+'TD Info Completed by Auditor'!E41</f>
        <v>Is the Independent Auditor's Report Opinion Unmodified?</v>
      </c>
      <c r="D246" s="360"/>
      <c r="E246" s="343">
        <f>IF(+'TD Info Completed by Auditor'!G41="Yes",1,IF(+'TD Info Completed by Auditor'!G41="No",2,IF(+'TD Info Completed by Auditor'!G41="N/A",3,0)))</f>
        <v>0</v>
      </c>
      <c r="F246" s="354"/>
      <c r="G246" s="356"/>
      <c r="H246" s="353"/>
      <c r="I246" s="38"/>
      <c r="J246" s="127">
        <v>906</v>
      </c>
      <c r="K246" s="616" t="s">
        <v>639</v>
      </c>
      <c r="L246" s="589">
        <f t="shared" si="26"/>
        <v>0</v>
      </c>
      <c r="N246" s="138" t="s">
        <v>1048</v>
      </c>
      <c r="P246" s="326"/>
      <c r="W246" s="3" t="b">
        <f t="shared" si="24"/>
        <v>1</v>
      </c>
      <c r="X246" s="586"/>
      <c r="Y246" s="586"/>
    </row>
    <row r="247" spans="1:25" ht="87.75" customHeight="1" x14ac:dyDescent="0.25">
      <c r="A247" s="605">
        <f>+'TD Info Completed by Auditor'!D43</f>
        <v>907</v>
      </c>
      <c r="B247" s="337" t="s">
        <v>837</v>
      </c>
      <c r="C247" s="605" t="str">
        <f>+'TD Info Completed by Auditor'!E43</f>
        <v xml:space="preserve">Is there a finding for lack of segregation of duties at this unit? </v>
      </c>
      <c r="D247" s="360"/>
      <c r="E247" s="343">
        <f>IF(+'TD Info Completed by Auditor'!G43="Yes",1,IF(+'TD Info Completed by Auditor'!G43="No",2,IF(+'TD Info Completed by Auditor'!G43="N/A",3,0)))</f>
        <v>0</v>
      </c>
      <c r="F247" s="354"/>
      <c r="G247" s="356"/>
      <c r="H247" s="353"/>
      <c r="I247" s="38"/>
      <c r="J247" s="127">
        <v>907</v>
      </c>
      <c r="K247" s="616" t="s">
        <v>640</v>
      </c>
      <c r="L247" s="589">
        <f t="shared" si="26"/>
        <v>0</v>
      </c>
      <c r="N247" s="138" t="s">
        <v>1048</v>
      </c>
      <c r="P247" s="326"/>
      <c r="W247" s="3" t="b">
        <f t="shared" si="24"/>
        <v>1</v>
      </c>
      <c r="X247" s="586"/>
      <c r="Y247" s="586"/>
    </row>
    <row r="248" spans="1:25" ht="87.75" customHeight="1" x14ac:dyDescent="0.25">
      <c r="A248" s="605">
        <f>+'TD Info Completed by Auditor'!D45</f>
        <v>951</v>
      </c>
      <c r="B248" s="337" t="s">
        <v>837</v>
      </c>
      <c r="C248" s="606" t="str">
        <f>+'TD Info Completed by Auditor'!E45</f>
        <v>Is there a finding for lack of technical skills, knowledge and experience (SKE) at this unit?</v>
      </c>
      <c r="D248" s="360"/>
      <c r="E248" s="343">
        <f>IF(+'TD Info Completed by Auditor'!G45="Yes",1,IF(+'TD Info Completed by Auditor'!G45="No",2,IF(+'TD Info Completed by Auditor'!G45="N/A",3,0)))</f>
        <v>0</v>
      </c>
      <c r="F248" s="354"/>
      <c r="G248" s="356"/>
      <c r="H248" s="353"/>
      <c r="I248" s="38"/>
      <c r="J248" s="127">
        <v>951</v>
      </c>
      <c r="K248" s="616" t="s">
        <v>641</v>
      </c>
      <c r="L248" s="589">
        <f t="shared" si="26"/>
        <v>0</v>
      </c>
      <c r="N248" s="138" t="s">
        <v>1048</v>
      </c>
      <c r="P248" s="326"/>
      <c r="W248" s="3" t="b">
        <f t="shared" si="24"/>
        <v>1</v>
      </c>
      <c r="X248" s="586"/>
      <c r="Y248" s="586"/>
    </row>
    <row r="249" spans="1:25" ht="87.75" customHeight="1" x14ac:dyDescent="0.25">
      <c r="A249" s="605">
        <f>+'TD Info Completed by Auditor'!D47</f>
        <v>953</v>
      </c>
      <c r="B249" s="337" t="s">
        <v>837</v>
      </c>
      <c r="C249" s="606" t="str">
        <f>+'TD Info Completed by Auditor'!E47</f>
        <v xml:space="preserve">Is there is a going concern finding noted in the audit report? </v>
      </c>
      <c r="D249" s="360"/>
      <c r="E249" s="343">
        <f>IF(+'TD Info Completed by Auditor'!G47="Yes",1,IF(+'TD Info Completed by Auditor'!G47="No",2,IF(+'TD Info Completed by Auditor'!G47="N/A",3,0)))</f>
        <v>0</v>
      </c>
      <c r="F249" s="354"/>
      <c r="G249" s="356"/>
      <c r="H249" s="353"/>
      <c r="I249" s="38"/>
      <c r="J249" s="127">
        <v>953</v>
      </c>
      <c r="K249" s="616" t="s">
        <v>1295</v>
      </c>
      <c r="L249" s="589">
        <f t="shared" si="26"/>
        <v>0</v>
      </c>
      <c r="N249" s="138" t="s">
        <v>1048</v>
      </c>
      <c r="P249" s="326"/>
      <c r="W249" s="3" t="b">
        <f t="shared" si="24"/>
        <v>1</v>
      </c>
      <c r="X249" s="586"/>
      <c r="Y249" s="586"/>
    </row>
    <row r="250" spans="1:25" ht="87.75" customHeight="1" x14ac:dyDescent="0.25">
      <c r="A250" s="605">
        <f>+'TD Info Completed by Auditor'!D49</f>
        <v>955</v>
      </c>
      <c r="B250" s="337" t="s">
        <v>837</v>
      </c>
      <c r="C250" s="606" t="str">
        <f>+'TD Info Completed by Auditor'!E49</f>
        <v>Number of significant deficiency findings (other than in Questions 15-18 )</v>
      </c>
      <c r="D250" s="360"/>
      <c r="E250" s="1183" t="str">
        <f>IF(ISBLANK('TD Info Completed by Auditor'!G49),"",'TD Info Completed by Auditor'!G49)</f>
        <v/>
      </c>
      <c r="F250" s="354"/>
      <c r="G250" s="356"/>
      <c r="H250" s="1182" t="s">
        <v>1594</v>
      </c>
      <c r="I250" s="38"/>
      <c r="J250" s="127">
        <v>955</v>
      </c>
      <c r="K250" s="616" t="s">
        <v>841</v>
      </c>
      <c r="L250" s="589" t="str">
        <f t="shared" si="26"/>
        <v/>
      </c>
      <c r="N250" s="138" t="s">
        <v>1048</v>
      </c>
      <c r="P250" s="326"/>
      <c r="W250" s="3" t="b">
        <f t="shared" si="24"/>
        <v>1</v>
      </c>
      <c r="X250" s="586"/>
      <c r="Y250" s="586"/>
    </row>
    <row r="251" spans="1:25" ht="87.75" customHeight="1" x14ac:dyDescent="0.25">
      <c r="A251" s="605">
        <f>+'TD Info Completed by Auditor'!D51</f>
        <v>957</v>
      </c>
      <c r="B251" s="337" t="s">
        <v>837</v>
      </c>
      <c r="C251" s="606" t="str">
        <f>+'TD Info Completed by Auditor'!E51</f>
        <v>Number of material weaknesses findings (other than in Questions 15-18)</v>
      </c>
      <c r="D251" s="360"/>
      <c r="E251" s="1183" t="str">
        <f>IF(ISBLANK('TD Info Completed by Auditor'!G51),"",'TD Info Completed by Auditor'!G51)</f>
        <v/>
      </c>
      <c r="F251" s="354"/>
      <c r="G251" s="356"/>
      <c r="H251" s="1182" t="s">
        <v>1595</v>
      </c>
      <c r="I251" s="38"/>
      <c r="J251" s="127">
        <v>957</v>
      </c>
      <c r="K251" s="616" t="s">
        <v>842</v>
      </c>
      <c r="L251" s="589" t="str">
        <f t="shared" si="26"/>
        <v/>
      </c>
      <c r="N251" s="138" t="s">
        <v>1048</v>
      </c>
      <c r="P251" s="326"/>
      <c r="W251" s="3" t="b">
        <f t="shared" si="24"/>
        <v>1</v>
      </c>
      <c r="X251" s="586"/>
      <c r="Y251" s="586"/>
    </row>
    <row r="252" spans="1:25" ht="87.75" customHeight="1" x14ac:dyDescent="0.25">
      <c r="A252" s="605">
        <f>+'TD Info Completed by Auditor'!D53</f>
        <v>959</v>
      </c>
      <c r="B252" s="337" t="s">
        <v>837</v>
      </c>
      <c r="C252" s="606" t="str">
        <f>+'TD Info Completed by Auditor'!E53</f>
        <v>Did the Unit have debt service payments deferred or restructured in this fiscal year? (does not include refinancings designed to take advantage of lower interest rates)  Select Yes, No, or NA</v>
      </c>
      <c r="D252" s="360"/>
      <c r="E252" s="343">
        <f>IF(+'TD Info Completed by Auditor'!G53="Yes",1,IF(+'TD Info Completed by Auditor'!G53="No",2,IF(+'TD Info Completed by Auditor'!G53="N/A",3,0)))</f>
        <v>0</v>
      </c>
      <c r="F252" s="354"/>
      <c r="G252" s="356"/>
      <c r="H252" s="353"/>
      <c r="I252" s="38"/>
      <c r="J252" s="127">
        <v>959</v>
      </c>
      <c r="K252" s="616" t="s">
        <v>1050</v>
      </c>
      <c r="L252" s="589">
        <f t="shared" si="26"/>
        <v>0</v>
      </c>
      <c r="N252" s="138" t="s">
        <v>1048</v>
      </c>
      <c r="P252" s="326"/>
      <c r="W252" s="3" t="b">
        <f t="shared" si="24"/>
        <v>1</v>
      </c>
      <c r="X252" s="586"/>
      <c r="Y252" s="586"/>
    </row>
    <row r="253" spans="1:25" ht="222" customHeight="1" x14ac:dyDescent="0.25">
      <c r="A253" s="605">
        <f>+'TD Info Completed by Auditor'!D57</f>
        <v>974</v>
      </c>
      <c r="B253" s="337" t="s">
        <v>837</v>
      </c>
      <c r="C253" s="606"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60"/>
      <c r="E253" s="343">
        <f>IF(+'TD Info Completed by Auditor'!G57="Yes",1,IF(+'TD Info Completed by Auditor'!G57="No",2,IF(+'TD Info Completed by Auditor'!G57="N/A",3,0)))</f>
        <v>0</v>
      </c>
      <c r="F253" s="354"/>
      <c r="G253" s="356"/>
      <c r="H253" s="353"/>
      <c r="I253" s="38"/>
      <c r="J253" s="127">
        <v>974</v>
      </c>
      <c r="K253" s="616" t="s">
        <v>1296</v>
      </c>
      <c r="L253" s="589">
        <f t="shared" si="26"/>
        <v>0</v>
      </c>
      <c r="N253" s="138" t="s">
        <v>1048</v>
      </c>
      <c r="P253" s="326"/>
      <c r="W253" s="3" t="b">
        <f t="shared" si="24"/>
        <v>1</v>
      </c>
      <c r="X253" s="586"/>
      <c r="Y253" s="586"/>
    </row>
    <row r="254" spans="1:25" ht="177.75" customHeight="1" x14ac:dyDescent="0.25">
      <c r="A254" s="605">
        <f>+'TD Info Completed by Auditor'!D55</f>
        <v>973</v>
      </c>
      <c r="B254" s="337" t="s">
        <v>837</v>
      </c>
      <c r="C254" s="336"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60"/>
      <c r="E254" s="343">
        <f>+'TD Info Completed by Auditor'!G55</f>
        <v>0</v>
      </c>
      <c r="F254" s="354"/>
      <c r="G254" s="356"/>
      <c r="H254" s="353"/>
      <c r="I254" s="38"/>
      <c r="J254" s="127">
        <v>973</v>
      </c>
      <c r="K254" s="616" t="s">
        <v>1005</v>
      </c>
      <c r="L254" s="589">
        <f t="shared" si="26"/>
        <v>0</v>
      </c>
      <c r="N254" s="138" t="s">
        <v>1048</v>
      </c>
      <c r="P254" s="326"/>
      <c r="W254" s="3" t="b">
        <f t="shared" si="24"/>
        <v>1</v>
      </c>
      <c r="X254" s="586"/>
      <c r="Y254" s="586"/>
    </row>
    <row r="255" spans="1:25" ht="87.75" customHeight="1" x14ac:dyDescent="0.25">
      <c r="A255" s="605">
        <f>+'TD Info Completed by Auditor'!D60</f>
        <v>965</v>
      </c>
      <c r="B255" s="337" t="s">
        <v>837</v>
      </c>
      <c r="C255" s="606" t="str">
        <f>+'TD Info Completed by Auditor'!E60</f>
        <v xml:space="preserve">Is the Finance Officer bonded for at least $50,000? (GS 159-42(h) </v>
      </c>
      <c r="D255" s="360"/>
      <c r="E255" s="343">
        <f>IF(+'TD Info Completed by Auditor'!G60="Yes",1,IF(+'TD Info Completed by Auditor'!G60="No",2,IF(+'TD Info Completed by Auditor'!G60="N/A",3,0)))</f>
        <v>0</v>
      </c>
      <c r="F255" s="354"/>
      <c r="G255" s="356"/>
      <c r="H255" s="353"/>
      <c r="I255" s="38"/>
      <c r="J255" s="127">
        <v>965</v>
      </c>
      <c r="K255" s="616" t="s">
        <v>646</v>
      </c>
      <c r="L255" s="589">
        <f t="shared" si="26"/>
        <v>0</v>
      </c>
      <c r="N255" s="138" t="s">
        <v>1048</v>
      </c>
      <c r="P255" s="326"/>
      <c r="W255" s="3" t="b">
        <f t="shared" si="24"/>
        <v>1</v>
      </c>
      <c r="X255" s="586"/>
      <c r="Y255" s="586"/>
    </row>
    <row r="256" spans="1:25" ht="87.75" customHeight="1" x14ac:dyDescent="0.25">
      <c r="A256" s="605">
        <f>+'TD Info Completed by Auditor'!D68</f>
        <v>977</v>
      </c>
      <c r="B256" s="337" t="s">
        <v>837</v>
      </c>
      <c r="C256" s="606" t="str">
        <f>+'TD Info Completed by Auditor'!E68</f>
        <v>Does the entity have an  effective pre-audit process to ensure that pervasive budgetary over- expenditures do not occur at the budget ordinance level? Select Yes or No</v>
      </c>
      <c r="D256" s="360"/>
      <c r="E256" s="343">
        <f>IF(+'TD Info Completed by Auditor'!G68="Yes",1,IF(+'TD Info Completed by Auditor'!G68="No",2,))</f>
        <v>0</v>
      </c>
      <c r="F256" s="354"/>
      <c r="G256" s="356"/>
      <c r="H256" s="353"/>
      <c r="I256" s="38"/>
      <c r="J256" s="127">
        <v>977</v>
      </c>
      <c r="K256" s="616" t="s">
        <v>1298</v>
      </c>
      <c r="L256" s="589">
        <f t="shared" si="26"/>
        <v>0</v>
      </c>
      <c r="N256" s="138" t="s">
        <v>1048</v>
      </c>
      <c r="P256" s="326"/>
      <c r="W256" s="3" t="b">
        <f t="shared" si="24"/>
        <v>1</v>
      </c>
      <c r="X256" s="586"/>
      <c r="Y256" s="586"/>
    </row>
    <row r="257" spans="1:25" ht="87.75" customHeight="1" x14ac:dyDescent="0.25">
      <c r="A257" s="605">
        <f>+'TD Info Completed by Auditor'!D70</f>
        <v>978</v>
      </c>
      <c r="B257" s="337" t="s">
        <v>837</v>
      </c>
      <c r="C257" s="606" t="str">
        <f>+'TD Info Completed by Auditor'!E70</f>
        <v>Did the audit disclose any statutory violations in the notes that were not covered by findings?  Select Yes or No</v>
      </c>
      <c r="D257" s="360"/>
      <c r="E257" s="343" t="str">
        <f>IF(+'TD Info Completed by Auditor'!G70="Yes",1,IF(+'TD Info Completed by Auditor'!G70="No",2,IF(+'TD Info Completed by Auditor'!G70="","0")))</f>
        <v>0</v>
      </c>
      <c r="F257" s="354"/>
      <c r="G257" s="356"/>
      <c r="H257" s="353"/>
      <c r="I257" s="38"/>
      <c r="J257" s="127">
        <v>978</v>
      </c>
      <c r="K257" s="616" t="s">
        <v>1297</v>
      </c>
      <c r="L257" s="589" t="str">
        <f t="shared" si="26"/>
        <v>0</v>
      </c>
      <c r="N257" s="138" t="s">
        <v>1048</v>
      </c>
      <c r="P257" s="326"/>
      <c r="W257" s="3" t="b">
        <f t="shared" si="24"/>
        <v>1</v>
      </c>
      <c r="X257" s="586"/>
      <c r="Y257" s="586"/>
    </row>
    <row r="258" spans="1:25" ht="87.75" customHeight="1" x14ac:dyDescent="0.25">
      <c r="A258" s="605">
        <f>+'TD Info Completed by Auditor'!D72</f>
        <v>979</v>
      </c>
      <c r="B258" s="337" t="s">
        <v>837</v>
      </c>
      <c r="C258" s="606" t="str">
        <f>+'TD Info Completed by Auditor'!E72</f>
        <v>The Auditor will submit the Audit Report to the LGC within five months plus one day after the fiscal year end.  (for units with a June 30th fiscal year-end this would be December 1)   Select Yes or No</v>
      </c>
      <c r="D258" s="360"/>
      <c r="E258" s="343">
        <f>IF(+'TD Info Completed by Auditor'!G72="Yes",1,IF(+'TD Info Completed by Auditor'!G72="No",2,IF(+'TD Info Completed by Auditor'!G72="N/A",3,0)))</f>
        <v>0</v>
      </c>
      <c r="F258" s="354"/>
      <c r="G258" s="356"/>
      <c r="H258" s="353"/>
      <c r="I258" s="38"/>
      <c r="J258" s="127">
        <v>979</v>
      </c>
      <c r="K258" s="616" t="s">
        <v>801</v>
      </c>
      <c r="L258" s="589">
        <f t="shared" si="26"/>
        <v>0</v>
      </c>
      <c r="N258" s="138" t="s">
        <v>1048</v>
      </c>
      <c r="P258" s="326"/>
      <c r="W258" s="3" t="b">
        <f t="shared" si="24"/>
        <v>1</v>
      </c>
      <c r="X258" s="586"/>
      <c r="Y258" s="586"/>
    </row>
    <row r="259" spans="1:25" s="727" customFormat="1" ht="87.75" customHeight="1" x14ac:dyDescent="0.25">
      <c r="A259" s="605">
        <f>'TD Info Completed by Auditor'!D76</f>
        <v>975</v>
      </c>
      <c r="B259" s="337" t="s">
        <v>837</v>
      </c>
      <c r="C259" s="606" t="str">
        <f>+'TD Info Completed by Auditor'!E76</f>
        <v>The Performance Indicator Tab in this worksheet has at least one performance indicator of concern (indicated by a red shaded cell)</v>
      </c>
      <c r="D259" s="1144"/>
      <c r="E259" s="1143">
        <f>IF(+'TD Info Completed by Auditor'!G76="Yes",1,IF(+'TD Info Completed by Auditor'!G76="No",2,IF(+'TD Info Completed by Auditor'!G76="N/A",3,0)))</f>
        <v>0</v>
      </c>
      <c r="F259" s="354"/>
      <c r="G259" s="356"/>
      <c r="H259" s="353"/>
      <c r="I259" s="729"/>
      <c r="J259" s="127">
        <v>975</v>
      </c>
      <c r="K259" s="616" t="s">
        <v>843</v>
      </c>
      <c r="L259" s="589">
        <f t="shared" si="26"/>
        <v>0</v>
      </c>
      <c r="N259" s="138"/>
      <c r="P259" s="326"/>
      <c r="Q259" s="579"/>
      <c r="X259" s="586"/>
      <c r="Y259" s="586"/>
    </row>
    <row r="260" spans="1:25" ht="112.5" customHeight="1" x14ac:dyDescent="0.25">
      <c r="A260" s="605">
        <f>+'TD Info Completed by Auditor'!D78</f>
        <v>976</v>
      </c>
      <c r="B260" s="337" t="s">
        <v>837</v>
      </c>
      <c r="C260" s="336"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60"/>
      <c r="E260" s="343">
        <f>IF(+'TD Info Completed by Auditor'!G78="Yes",1,IF(+'TD Info Completed by Auditor'!G78="No",2,IF(+'TD Info Completed by Auditor'!G78="N/A",3,0)))</f>
        <v>0</v>
      </c>
      <c r="F260" s="354"/>
      <c r="G260" s="356"/>
      <c r="H260" s="353"/>
      <c r="I260" s="38"/>
      <c r="J260" s="127">
        <v>976</v>
      </c>
      <c r="K260" s="616" t="s">
        <v>1007</v>
      </c>
      <c r="L260" s="589">
        <f>IF(D260="",E260,D260)</f>
        <v>0</v>
      </c>
      <c r="N260" s="138" t="s">
        <v>1048</v>
      </c>
      <c r="P260" s="326"/>
      <c r="W260" s="3" t="b">
        <f>EXACT(A260,J260)</f>
        <v>1</v>
      </c>
      <c r="X260" s="586"/>
      <c r="Y260" s="586"/>
    </row>
    <row r="261" spans="1:25" ht="109.9" customHeight="1" x14ac:dyDescent="0.25">
      <c r="A261" s="633">
        <v>336</v>
      </c>
      <c r="B261" s="373"/>
      <c r="C261" s="634" t="s">
        <v>1103</v>
      </c>
      <c r="D261" s="635" t="s">
        <v>1018</v>
      </c>
      <c r="E261" s="636" t="s">
        <v>1019</v>
      </c>
      <c r="F261" s="374" t="s">
        <v>1017</v>
      </c>
      <c r="G261" s="356"/>
      <c r="H261" s="353"/>
      <c r="I261" s="38"/>
      <c r="J261" s="375">
        <v>336</v>
      </c>
      <c r="K261" s="637" t="s">
        <v>1022</v>
      </c>
      <c r="L261" s="638">
        <f>L10-L11-L12-L13-L14-L15-L16</f>
        <v>0</v>
      </c>
      <c r="M261" s="639"/>
      <c r="N261" s="387" t="s">
        <v>1020</v>
      </c>
      <c r="P261" s="326"/>
      <c r="X261" s="586"/>
      <c r="Y261" s="586"/>
    </row>
    <row r="262" spans="1:25" ht="129" customHeight="1" x14ac:dyDescent="0.25">
      <c r="A262" s="633">
        <v>44</v>
      </c>
      <c r="B262" s="373"/>
      <c r="C262" s="640" t="s">
        <v>1104</v>
      </c>
      <c r="D262" s="635" t="s">
        <v>1009</v>
      </c>
      <c r="E262" s="641" t="s">
        <v>1010</v>
      </c>
      <c r="F262" s="374" t="s">
        <v>1017</v>
      </c>
      <c r="G262" s="356"/>
      <c r="H262" s="353"/>
      <c r="I262" s="38"/>
      <c r="J262" s="375">
        <v>44</v>
      </c>
      <c r="K262" s="637" t="s">
        <v>1023</v>
      </c>
      <c r="L262" s="638">
        <f>L120-L121-L118</f>
        <v>0</v>
      </c>
      <c r="M262" s="639"/>
      <c r="N262" s="387" t="s">
        <v>1021</v>
      </c>
      <c r="P262" s="326"/>
      <c r="X262" s="586"/>
      <c r="Y262" s="586"/>
    </row>
    <row r="263" spans="1:25" ht="169.5" customHeight="1" x14ac:dyDescent="0.25">
      <c r="A263" s="633">
        <v>45</v>
      </c>
      <c r="B263" s="373"/>
      <c r="C263" s="642" t="s">
        <v>1105</v>
      </c>
      <c r="D263" s="635" t="s">
        <v>1011</v>
      </c>
      <c r="E263" s="636" t="s">
        <v>1012</v>
      </c>
      <c r="F263" s="374" t="s">
        <v>1017</v>
      </c>
      <c r="G263" s="356"/>
      <c r="H263" s="353"/>
      <c r="I263" s="38"/>
      <c r="J263" s="375">
        <v>45</v>
      </c>
      <c r="K263" s="637" t="s">
        <v>1024</v>
      </c>
      <c r="L263" s="638">
        <f>L124-L125-L126-L127-L128-L129-L123</f>
        <v>0</v>
      </c>
      <c r="M263" s="639"/>
      <c r="N263" s="387" t="s">
        <v>1039</v>
      </c>
      <c r="P263" s="326"/>
      <c r="X263" s="586"/>
      <c r="Y263" s="586"/>
    </row>
    <row r="264" spans="1:25" ht="87.75" customHeight="1" x14ac:dyDescent="0.25">
      <c r="A264" s="633">
        <v>47</v>
      </c>
      <c r="B264" s="373"/>
      <c r="C264" s="374" t="s">
        <v>1026</v>
      </c>
      <c r="D264" s="635" t="s">
        <v>1013</v>
      </c>
      <c r="E264" s="636" t="s">
        <v>1015</v>
      </c>
      <c r="F264" s="374" t="s">
        <v>1017</v>
      </c>
      <c r="G264" s="356"/>
      <c r="H264" s="353"/>
      <c r="I264" s="38"/>
      <c r="J264" s="375">
        <v>47</v>
      </c>
      <c r="K264" s="637" t="s">
        <v>1025</v>
      </c>
      <c r="L264" s="638">
        <f>L138-L139-L137</f>
        <v>0</v>
      </c>
      <c r="M264" s="639"/>
      <c r="N264" s="387" t="s">
        <v>1040</v>
      </c>
      <c r="P264" s="326"/>
      <c r="X264" s="586"/>
      <c r="Y264" s="586"/>
    </row>
    <row r="265" spans="1:25" ht="152.25" customHeight="1" x14ac:dyDescent="0.25">
      <c r="A265" s="633">
        <v>48</v>
      </c>
      <c r="B265" s="373"/>
      <c r="C265" s="374" t="s">
        <v>1027</v>
      </c>
      <c r="D265" s="635" t="s">
        <v>1014</v>
      </c>
      <c r="E265" s="636" t="s">
        <v>1016</v>
      </c>
      <c r="F265" s="374" t="s">
        <v>1017</v>
      </c>
      <c r="G265" s="356"/>
      <c r="H265" s="353"/>
      <c r="I265" s="38"/>
      <c r="J265" s="375">
        <v>48</v>
      </c>
      <c r="K265" s="637" t="s">
        <v>123</v>
      </c>
      <c r="L265" s="638">
        <f>L143-L144-L145-L146-L147-L148-L142</f>
        <v>0</v>
      </c>
      <c r="M265" s="639"/>
      <c r="N265" s="387" t="s">
        <v>1041</v>
      </c>
      <c r="P265" s="326"/>
      <c r="X265" s="586"/>
      <c r="Y265" s="586"/>
    </row>
    <row r="266" spans="1:25" ht="113.45" customHeight="1" x14ac:dyDescent="0.25">
      <c r="A266" s="643"/>
      <c r="B266" s="97"/>
      <c r="C266" s="644"/>
      <c r="D266" s="139"/>
      <c r="E266" s="145"/>
      <c r="F266" s="66"/>
      <c r="G266" s="140"/>
      <c r="H266" s="141"/>
      <c r="I266" s="38"/>
      <c r="J266" s="376">
        <v>998</v>
      </c>
      <c r="K266" s="377" t="s">
        <v>292</v>
      </c>
      <c r="L266" s="645" t="e">
        <f>HLOOKUP('Unit Data from Audit Worksheet'!$D$2,'2020 Data(H)'!A1:CZ400,247,FALSE)</f>
        <v>#N/A</v>
      </c>
      <c r="M266" s="639"/>
      <c r="N266" s="387" t="s">
        <v>1028</v>
      </c>
      <c r="P266" s="322"/>
      <c r="W266" s="3" t="b">
        <f>EXACT(A266,J266)</f>
        <v>0</v>
      </c>
      <c r="X266" s="586" t="e">
        <f t="shared" si="21"/>
        <v>#N/A</v>
      </c>
      <c r="Y266" s="586" t="e">
        <f t="shared" si="22"/>
        <v>#N/A</v>
      </c>
    </row>
    <row r="267" spans="1:25" ht="119.45" customHeight="1" x14ac:dyDescent="0.25">
      <c r="A267" s="643"/>
      <c r="B267" s="97"/>
      <c r="C267" s="644"/>
      <c r="D267" s="646"/>
      <c r="E267" s="647"/>
      <c r="F267" s="648"/>
      <c r="G267" s="649"/>
      <c r="H267" s="650"/>
      <c r="I267" s="38"/>
      <c r="J267" s="378">
        <v>995</v>
      </c>
      <c r="K267" s="379" t="s">
        <v>290</v>
      </c>
      <c r="L267" s="651" t="e">
        <f>HLOOKUP('Unit Data from Audit Worksheet'!$D$2,'2020 Data(H)'!A1:CZ400,244,FALSE)</f>
        <v>#N/A</v>
      </c>
      <c r="M267" s="639"/>
      <c r="N267" s="387" t="s">
        <v>1042</v>
      </c>
      <c r="P267" s="323"/>
      <c r="W267" s="3" t="b">
        <f>EXACT(A267,J267)</f>
        <v>0</v>
      </c>
      <c r="X267" s="652" t="e">
        <f t="shared" si="21"/>
        <v>#N/A</v>
      </c>
      <c r="Y267" s="586" t="e">
        <f t="shared" si="22"/>
        <v>#N/A</v>
      </c>
    </row>
    <row r="268" spans="1:25" ht="104.45" customHeight="1" x14ac:dyDescent="0.25">
      <c r="A268" s="643"/>
      <c r="B268" s="97"/>
      <c r="C268" s="644"/>
      <c r="D268" s="646"/>
      <c r="E268" s="647"/>
      <c r="F268" s="648"/>
      <c r="G268" s="649"/>
      <c r="H268" s="650"/>
      <c r="I268" s="38"/>
      <c r="J268" s="378">
        <v>996</v>
      </c>
      <c r="K268" s="379" t="s">
        <v>291</v>
      </c>
      <c r="L268" s="651" t="e">
        <f>HLOOKUP('Unit Data from Audit Worksheet'!$D$2,'2020 Data(H)'!A1:CZ400,245,FALSE)</f>
        <v>#N/A</v>
      </c>
      <c r="M268" s="639"/>
      <c r="N268" s="387" t="s">
        <v>1043</v>
      </c>
      <c r="P268" s="323"/>
      <c r="W268" s="3" t="b">
        <f>EXACT(A268,J268)</f>
        <v>0</v>
      </c>
      <c r="X268" s="652" t="e">
        <f t="shared" si="21"/>
        <v>#N/A</v>
      </c>
      <c r="Y268" s="586" t="e">
        <f t="shared" si="22"/>
        <v>#N/A</v>
      </c>
    </row>
    <row r="269" spans="1:25" ht="45" x14ac:dyDescent="0.25">
      <c r="A269" s="643"/>
      <c r="B269" s="97"/>
      <c r="C269" s="644"/>
      <c r="D269" s="646"/>
      <c r="E269" s="647"/>
      <c r="F269" s="648"/>
      <c r="G269" s="649"/>
      <c r="H269" s="653"/>
      <c r="I269" s="38"/>
      <c r="J269" s="170">
        <v>554</v>
      </c>
      <c r="K269" s="654" t="s">
        <v>365</v>
      </c>
      <c r="L269" s="615"/>
      <c r="N269" s="655"/>
      <c r="P269" s="324"/>
      <c r="X269" s="652"/>
      <c r="Y269" s="586"/>
    </row>
    <row r="270" spans="1:25" ht="45" x14ac:dyDescent="0.25">
      <c r="A270" s="643"/>
      <c r="B270" s="97"/>
      <c r="C270" s="644"/>
      <c r="D270" s="646"/>
      <c r="E270" s="647"/>
      <c r="F270" s="648"/>
      <c r="G270" s="649"/>
      <c r="H270" s="653"/>
      <c r="I270" s="38"/>
      <c r="J270" s="170">
        <v>555</v>
      </c>
      <c r="K270" s="654" t="s">
        <v>366</v>
      </c>
      <c r="L270" s="615"/>
      <c r="N270" s="655"/>
      <c r="P270" s="324"/>
      <c r="X270" s="652"/>
      <c r="Y270" s="586"/>
    </row>
    <row r="271" spans="1:25" ht="45" x14ac:dyDescent="0.25">
      <c r="A271" s="643"/>
      <c r="B271" s="97"/>
      <c r="C271" s="644"/>
      <c r="D271" s="646"/>
      <c r="E271" s="647"/>
      <c r="F271" s="648"/>
      <c r="G271" s="649"/>
      <c r="H271" s="653"/>
      <c r="I271" s="38"/>
      <c r="J271" s="170">
        <v>556</v>
      </c>
      <c r="K271" s="654" t="s">
        <v>367</v>
      </c>
      <c r="L271" s="615"/>
      <c r="N271" s="655"/>
      <c r="P271" s="324"/>
      <c r="X271" s="652"/>
      <c r="Y271" s="586"/>
    </row>
    <row r="272" spans="1:25" ht="45" x14ac:dyDescent="0.25">
      <c r="A272" s="643"/>
      <c r="B272" s="97"/>
      <c r="C272" s="644"/>
      <c r="D272" s="646"/>
      <c r="E272" s="647"/>
      <c r="F272" s="648"/>
      <c r="G272" s="649"/>
      <c r="H272" s="653"/>
      <c r="I272" s="38"/>
      <c r="J272" s="170">
        <v>557</v>
      </c>
      <c r="K272" s="654" t="s">
        <v>368</v>
      </c>
      <c r="L272" s="615"/>
      <c r="N272" s="655"/>
      <c r="P272" s="324"/>
      <c r="X272" s="652"/>
      <c r="Y272" s="586"/>
    </row>
    <row r="273" spans="1:25" ht="45" x14ac:dyDescent="0.25">
      <c r="A273" s="643"/>
      <c r="B273" s="97"/>
      <c r="C273" s="644"/>
      <c r="D273" s="646"/>
      <c r="E273" s="647"/>
      <c r="F273" s="648"/>
      <c r="G273" s="649"/>
      <c r="H273" s="653"/>
      <c r="I273" s="38"/>
      <c r="J273" s="170">
        <v>606</v>
      </c>
      <c r="K273" s="654" t="s">
        <v>587</v>
      </c>
      <c r="L273" s="615"/>
      <c r="N273" s="655"/>
      <c r="P273" s="324"/>
      <c r="X273" s="652"/>
      <c r="Y273" s="586"/>
    </row>
    <row r="274" spans="1:25" ht="39.75" customHeight="1" x14ac:dyDescent="0.25">
      <c r="A274" s="643"/>
      <c r="B274" s="97"/>
      <c r="C274" s="644"/>
      <c r="D274" s="646"/>
      <c r="E274" s="647"/>
      <c r="F274" s="648"/>
      <c r="G274" s="649"/>
      <c r="H274" s="653"/>
      <c r="I274" s="38"/>
      <c r="J274" s="330">
        <v>662</v>
      </c>
      <c r="K274" s="656" t="s">
        <v>588</v>
      </c>
      <c r="L274" s="657"/>
      <c r="N274" s="655"/>
      <c r="P274" s="330"/>
      <c r="X274" s="652"/>
      <c r="Y274" s="586"/>
    </row>
    <row r="275" spans="1:25" ht="39" customHeight="1" x14ac:dyDescent="0.25">
      <c r="A275" s="643"/>
      <c r="B275" s="97"/>
      <c r="C275" s="644"/>
      <c r="D275" s="646"/>
      <c r="E275" s="647"/>
      <c r="F275" s="648"/>
      <c r="G275" s="649"/>
      <c r="H275" s="653"/>
      <c r="I275" s="38"/>
      <c r="J275" s="330">
        <v>663</v>
      </c>
      <c r="K275" s="658" t="s">
        <v>589</v>
      </c>
      <c r="L275" s="657"/>
      <c r="N275" s="655"/>
      <c r="P275" s="330"/>
      <c r="X275" s="652"/>
      <c r="Y275" s="586"/>
    </row>
    <row r="276" spans="1:25" s="18" customFormat="1" ht="22.5" customHeight="1" x14ac:dyDescent="0.25">
      <c r="A276" s="1186"/>
      <c r="B276" s="1186"/>
      <c r="C276" s="1186"/>
      <c r="D276" s="1186"/>
      <c r="E276" s="1186"/>
      <c r="F276" s="1186"/>
      <c r="G276" s="1186"/>
      <c r="H276" s="1186"/>
      <c r="I276" s="1186"/>
      <c r="J276" s="1186"/>
      <c r="K276" s="1186"/>
      <c r="L276" s="1186"/>
      <c r="N276" s="385"/>
      <c r="P276" s="324"/>
      <c r="Q276" s="579"/>
      <c r="W276" s="18" t="b">
        <f t="shared" ref="W276:W284" si="27">EXACT(A276,J276)</f>
        <v>1</v>
      </c>
      <c r="X276" s="595">
        <f t="shared" si="21"/>
        <v>0</v>
      </c>
      <c r="Y276" s="595">
        <f t="shared" si="22"/>
        <v>0</v>
      </c>
    </row>
    <row r="277" spans="1:25" ht="99" customHeight="1" x14ac:dyDescent="0.25">
      <c r="A277" s="341">
        <f>'Unit Data from Audit Worksheet'!A304</f>
        <v>947</v>
      </c>
      <c r="B277" s="132"/>
      <c r="C277" s="340" t="str">
        <f>'Unit Data from Audit Worksheet'!D304</f>
        <v>First name of finance officer or interim finance officer (please enter “vacant” for first name if the position is currently vacant)</v>
      </c>
      <c r="D277" s="363"/>
      <c r="E277" s="185">
        <f>'Unit Data from Audit Worksheet'!F304</f>
        <v>0</v>
      </c>
      <c r="F277" s="354" t="str">
        <f>'Unit Data from Audit Worksheet'!G304</f>
        <v>Please do not leave blank</v>
      </c>
      <c r="G277" s="356"/>
      <c r="H277" s="353"/>
      <c r="I277" s="38"/>
      <c r="J277" s="174">
        <v>947</v>
      </c>
      <c r="K277" s="659" t="s">
        <v>531</v>
      </c>
      <c r="L277" s="660">
        <f t="shared" ref="L277:L290" si="28">IF(D277="",E277,D277)</f>
        <v>0</v>
      </c>
      <c r="N277" s="655"/>
      <c r="P277" s="330"/>
      <c r="Q277" s="621">
        <f t="shared" ref="Q277:Q284" si="29">IF(L277=0,1,0)</f>
        <v>1</v>
      </c>
      <c r="W277" s="3" t="b">
        <f t="shared" si="27"/>
        <v>1</v>
      </c>
      <c r="X277" s="586">
        <f t="shared" ref="X277:X291" si="30">E277-L277</f>
        <v>0</v>
      </c>
      <c r="Y277" s="586">
        <f t="shared" ref="Y277:Y291" si="31">D277-L277</f>
        <v>0</v>
      </c>
    </row>
    <row r="278" spans="1:25" ht="128.25" customHeight="1" x14ac:dyDescent="0.25">
      <c r="A278" s="341">
        <f>'Unit Data from Audit Worksheet'!A305</f>
        <v>948</v>
      </c>
      <c r="B278" s="132"/>
      <c r="C278" s="340" t="str">
        <f>'Unit Data from Audit Worksheet'!D305</f>
        <v>Last name of finance officer or interim finance officer (please enter “vacant” for last name if the position is currently vacant)</v>
      </c>
      <c r="D278" s="363"/>
      <c r="E278" s="661">
        <f>'Unit Data from Audit Worksheet'!F305</f>
        <v>0</v>
      </c>
      <c r="F278" s="354" t="str">
        <f>'Unit Data from Audit Worksheet'!G305</f>
        <v>Please do not leave blank</v>
      </c>
      <c r="G278" s="356"/>
      <c r="H278" s="353"/>
      <c r="I278" s="38"/>
      <c r="J278" s="174">
        <v>948</v>
      </c>
      <c r="K278" s="659" t="s">
        <v>532</v>
      </c>
      <c r="L278" s="660">
        <f t="shared" si="28"/>
        <v>0</v>
      </c>
      <c r="N278" s="655"/>
      <c r="P278" s="330"/>
      <c r="Q278" s="621">
        <f t="shared" si="29"/>
        <v>1</v>
      </c>
      <c r="W278" s="3" t="b">
        <f t="shared" si="27"/>
        <v>1</v>
      </c>
      <c r="X278" s="586">
        <f t="shared" si="30"/>
        <v>0</v>
      </c>
      <c r="Y278" s="586">
        <f t="shared" si="31"/>
        <v>0</v>
      </c>
    </row>
    <row r="279" spans="1:25" ht="61.5" customHeight="1" x14ac:dyDescent="0.25">
      <c r="A279" s="341">
        <f>'Unit Data from Audit Worksheet'!A306</f>
        <v>949</v>
      </c>
      <c r="B279" s="132"/>
      <c r="C279" s="340" t="str">
        <f>'Unit Data from Audit Worksheet'!D306</f>
        <v>Is the finance officer serving in a permanent role or an interim role? (select permanent/interim/vacant)</v>
      </c>
      <c r="D279" s="363"/>
      <c r="E279" s="185">
        <f>'Unit Data from Audit Worksheet'!F306</f>
        <v>0</v>
      </c>
      <c r="F279" s="354" t="str">
        <f>'Unit Data from Audit Worksheet'!G306</f>
        <v>Please do not leave blank</v>
      </c>
      <c r="G279" s="356"/>
      <c r="H279" s="353"/>
      <c r="I279" s="38"/>
      <c r="J279" s="174">
        <v>949</v>
      </c>
      <c r="K279" s="659" t="s">
        <v>560</v>
      </c>
      <c r="L279" s="660">
        <f t="shared" si="28"/>
        <v>0</v>
      </c>
      <c r="N279" s="655"/>
      <c r="P279" s="330"/>
      <c r="Q279" s="621">
        <f t="shared" si="29"/>
        <v>1</v>
      </c>
      <c r="W279" s="3" t="b">
        <f t="shared" si="27"/>
        <v>1</v>
      </c>
      <c r="X279" s="586">
        <f t="shared" si="30"/>
        <v>0</v>
      </c>
      <c r="Y279" s="586">
        <f t="shared" si="31"/>
        <v>0</v>
      </c>
    </row>
    <row r="280" spans="1:25" ht="93.75" customHeight="1" x14ac:dyDescent="0.25">
      <c r="A280" s="341">
        <f>'Unit Data from Audit Worksheet'!A307</f>
        <v>950</v>
      </c>
      <c r="B280" s="132"/>
      <c r="C280" s="340" t="str">
        <f>'Unit Data from Audit Worksheet'!D307</f>
        <v>Has the finance officer been formally appointed by the local government, public authority, or designated official?  (Y/N)</v>
      </c>
      <c r="D280" s="363"/>
      <c r="E280" s="185">
        <f>'Unit Data from Audit Worksheet'!F307</f>
        <v>0</v>
      </c>
      <c r="F280" s="354" t="str">
        <f>'Unit Data from Audit Worksheet'!G307</f>
        <v>Please do not leave blank</v>
      </c>
      <c r="G280" s="356"/>
      <c r="H280" s="353"/>
      <c r="I280" s="38"/>
      <c r="J280" s="174">
        <v>950</v>
      </c>
      <c r="K280" s="659" t="s">
        <v>561</v>
      </c>
      <c r="L280" s="660">
        <f t="shared" si="28"/>
        <v>0</v>
      </c>
      <c r="N280" s="655"/>
      <c r="P280" s="330"/>
      <c r="Q280" s="621">
        <f t="shared" si="29"/>
        <v>1</v>
      </c>
      <c r="W280" s="3" t="b">
        <f t="shared" si="27"/>
        <v>1</v>
      </c>
      <c r="X280" s="586">
        <f t="shared" si="30"/>
        <v>0</v>
      </c>
      <c r="Y280" s="586">
        <f t="shared" si="31"/>
        <v>0</v>
      </c>
    </row>
    <row r="281" spans="1:25" ht="153.75" customHeight="1" x14ac:dyDescent="0.25">
      <c r="A281" s="341">
        <f>'Unit Data from Audit Worksheet'!A308</f>
        <v>952</v>
      </c>
      <c r="B281" s="132"/>
      <c r="C281" s="340"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63"/>
      <c r="E281" s="136" t="str">
        <f>IF('Unit Data from Audit Worksheet'!F308&gt;0,'Unit Data from Audit Worksheet'!F308," ")</f>
        <v xml:space="preserve"> </v>
      </c>
      <c r="F281" s="354" t="str">
        <f>'Unit Data from Audit Worksheet'!G308</f>
        <v>Leave blank if data not available</v>
      </c>
      <c r="G281" s="356"/>
      <c r="H281" s="353"/>
      <c r="I281" s="38"/>
      <c r="J281" s="174">
        <v>952</v>
      </c>
      <c r="K281" s="659" t="s">
        <v>562</v>
      </c>
      <c r="L281" s="662" t="str">
        <f t="shared" si="28"/>
        <v xml:space="preserve"> </v>
      </c>
      <c r="N281" s="655"/>
      <c r="P281" s="330"/>
      <c r="Q281" s="621">
        <f t="shared" si="29"/>
        <v>0</v>
      </c>
      <c r="W281" s="3" t="b">
        <f t="shared" si="27"/>
        <v>1</v>
      </c>
      <c r="X281" s="586" t="e">
        <f t="shared" si="30"/>
        <v>#VALUE!</v>
      </c>
      <c r="Y281" s="586" t="e">
        <f t="shared" si="31"/>
        <v>#VALUE!</v>
      </c>
    </row>
    <row r="282" spans="1:25" ht="153.75" customHeight="1" x14ac:dyDescent="0.25">
      <c r="A282" s="341">
        <f>'Unit Data from Audit Worksheet'!A309</f>
        <v>954</v>
      </c>
      <c r="B282" s="132"/>
      <c r="C282" s="340" t="str">
        <f>'Unit Data from Audit Worksheet'!D309</f>
        <v>Has the finance officer or interim finance officer read, understand, and is in compliance with the requirements of N.C.G.S. 159, as applicable based on unit type and circumstances? (Y/N)</v>
      </c>
      <c r="D282" s="363"/>
      <c r="E282" s="185">
        <f>'Unit Data from Audit Worksheet'!F309</f>
        <v>0</v>
      </c>
      <c r="F282" s="354" t="str">
        <f>'Unit Data from Audit Worksheet'!G309</f>
        <v>Please do not leave blank</v>
      </c>
      <c r="G282" s="356"/>
      <c r="H282" s="353"/>
      <c r="I282" s="38"/>
      <c r="J282" s="174">
        <v>954</v>
      </c>
      <c r="K282" s="659" t="s">
        <v>563</v>
      </c>
      <c r="L282" s="660">
        <f t="shared" si="28"/>
        <v>0</v>
      </c>
      <c r="N282" s="655"/>
      <c r="P282" s="330"/>
      <c r="Q282" s="621">
        <f t="shared" si="29"/>
        <v>1</v>
      </c>
      <c r="W282" s="3" t="b">
        <f t="shared" si="27"/>
        <v>1</v>
      </c>
      <c r="X282" s="586">
        <f t="shared" si="30"/>
        <v>0</v>
      </c>
      <c r="Y282" s="586">
        <f t="shared" si="31"/>
        <v>0</v>
      </c>
    </row>
    <row r="283" spans="1:25" ht="153.75" customHeight="1" x14ac:dyDescent="0.25">
      <c r="A283" s="341">
        <f>'Unit Data from Audit Worksheet'!A310</f>
        <v>956</v>
      </c>
      <c r="B283" s="132"/>
      <c r="C283" s="340" t="str">
        <f>'Unit Data from Audit Worksheet'!D310</f>
        <v>Does the finance officer or interim finance officer maintain and update (or ensures the maintenance and update of)  financial records monthly, including reconciliation of bank accounts to the general ledger? (Y/N)</v>
      </c>
      <c r="D283" s="363"/>
      <c r="E283" s="185">
        <f>'Unit Data from Audit Worksheet'!F310</f>
        <v>0</v>
      </c>
      <c r="F283" s="354" t="str">
        <f>'Unit Data from Audit Worksheet'!G310</f>
        <v>Please do not leave blank</v>
      </c>
      <c r="G283" s="356"/>
      <c r="H283" s="353"/>
      <c r="I283" s="38"/>
      <c r="J283" s="174">
        <v>956</v>
      </c>
      <c r="K283" s="659" t="s">
        <v>564</v>
      </c>
      <c r="L283" s="660">
        <f t="shared" si="28"/>
        <v>0</v>
      </c>
      <c r="N283" s="655"/>
      <c r="P283" s="330"/>
      <c r="Q283" s="621">
        <f t="shared" si="29"/>
        <v>1</v>
      </c>
      <c r="W283" s="3" t="b">
        <f t="shared" si="27"/>
        <v>1</v>
      </c>
      <c r="X283" s="586">
        <f t="shared" si="30"/>
        <v>0</v>
      </c>
      <c r="Y283" s="586">
        <f t="shared" si="31"/>
        <v>0</v>
      </c>
    </row>
    <row r="284" spans="1:25" ht="240" x14ac:dyDescent="0.25">
      <c r="A284" s="341">
        <f>'Unit Data from Audit Worksheet'!A311</f>
        <v>958</v>
      </c>
      <c r="B284" s="132"/>
      <c r="C284" s="340"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63"/>
      <c r="E284" s="185">
        <f>'Unit Data from Audit Worksheet'!F311</f>
        <v>0</v>
      </c>
      <c r="F284" s="354" t="str">
        <f>'Unit Data from Audit Worksheet'!G311</f>
        <v>Please do not leave blank</v>
      </c>
      <c r="G284" s="356"/>
      <c r="H284" s="353"/>
      <c r="I284" s="38"/>
      <c r="J284" s="174">
        <v>958</v>
      </c>
      <c r="K284" s="659" t="s">
        <v>565</v>
      </c>
      <c r="L284" s="663">
        <f t="shared" si="28"/>
        <v>0</v>
      </c>
      <c r="N284" s="655"/>
      <c r="P284" s="330"/>
      <c r="Q284" s="621">
        <f t="shared" si="29"/>
        <v>1</v>
      </c>
      <c r="W284" s="3" t="b">
        <f t="shared" si="27"/>
        <v>1</v>
      </c>
      <c r="X284" s="586">
        <f t="shared" si="30"/>
        <v>0</v>
      </c>
      <c r="Y284" s="586">
        <f t="shared" si="31"/>
        <v>0</v>
      </c>
    </row>
    <row r="285" spans="1:25" ht="30.75" customHeight="1" x14ac:dyDescent="0.25">
      <c r="A285" s="664">
        <f>'Unit Data from Audit Worksheet'!A319</f>
        <v>960</v>
      </c>
      <c r="B285" s="181"/>
      <c r="C285" s="182" t="str">
        <f>'Unit Data from Audit Worksheet'!B319</f>
        <v>Name of Finance Officer</v>
      </c>
      <c r="D285" s="363"/>
      <c r="E285" s="665">
        <f>'Unit Data from Audit Worksheet'!D319</f>
        <v>0</v>
      </c>
      <c r="F285" s="666" t="str">
        <f>'Unit Data from Audit Worksheet'!F319</f>
        <v>Required</v>
      </c>
      <c r="G285" s="356"/>
      <c r="H285" s="353"/>
      <c r="I285" s="38"/>
      <c r="J285" s="184">
        <v>960</v>
      </c>
      <c r="K285" s="667" t="s">
        <v>556</v>
      </c>
      <c r="L285" s="668">
        <f t="shared" si="28"/>
        <v>0</v>
      </c>
      <c r="N285" s="613"/>
      <c r="P285" s="330"/>
      <c r="Q285" s="621">
        <f>IF(L285=0,1,0)</f>
        <v>1</v>
      </c>
      <c r="X285" s="586"/>
      <c r="Y285" s="586"/>
    </row>
    <row r="286" spans="1:25" ht="30.75" customHeight="1" x14ac:dyDescent="0.25">
      <c r="A286" s="664">
        <f>'Unit Data from Audit Worksheet'!A320</f>
        <v>962</v>
      </c>
      <c r="B286" s="181"/>
      <c r="C286" s="182" t="str">
        <f>'Unit Data from Audit Worksheet'!B320</f>
        <v>Title of Official</v>
      </c>
      <c r="D286" s="363"/>
      <c r="E286" s="665">
        <f>'Unit Data from Audit Worksheet'!D320</f>
        <v>0</v>
      </c>
      <c r="F286" s="666" t="str">
        <f>'Unit Data from Audit Worksheet'!F320</f>
        <v>Required</v>
      </c>
      <c r="G286" s="356"/>
      <c r="H286" s="353"/>
      <c r="I286" s="38"/>
      <c r="J286" s="184">
        <v>962</v>
      </c>
      <c r="K286" s="667" t="s">
        <v>517</v>
      </c>
      <c r="L286" s="668">
        <f t="shared" si="28"/>
        <v>0</v>
      </c>
      <c r="N286" s="613"/>
      <c r="P286" s="330"/>
      <c r="Q286" s="621">
        <f>IF(L286=0,1,0)</f>
        <v>1</v>
      </c>
      <c r="X286" s="586"/>
      <c r="Y286" s="586"/>
    </row>
    <row r="287" spans="1:25" ht="30.75" customHeight="1" x14ac:dyDescent="0.25">
      <c r="A287" s="664">
        <f>'Unit Data from Audit Worksheet'!A321</f>
        <v>964</v>
      </c>
      <c r="B287" s="181"/>
      <c r="C287" s="183" t="str">
        <f>'Unit Data from Audit Worksheet'!B321</f>
        <v>Date                        (Enter as "MM/DD/YYYY")</v>
      </c>
      <c r="D287" s="363"/>
      <c r="E287" s="669" t="str">
        <f>IF('Unit Data from Audit Worksheet'!D321&gt;0,'Unit Data from Audit Worksheet'!D321," ")</f>
        <v xml:space="preserve"> </v>
      </c>
      <c r="F287" s="666" t="str">
        <f>'Unit Data from Audit Worksheet'!F321</f>
        <v>Required</v>
      </c>
      <c r="G287" s="356"/>
      <c r="H287" s="353"/>
      <c r="I287" s="38"/>
      <c r="J287" s="184">
        <v>964</v>
      </c>
      <c r="K287" s="667" t="s">
        <v>599</v>
      </c>
      <c r="L287" s="670" t="str">
        <f t="shared" si="28"/>
        <v xml:space="preserve"> </v>
      </c>
      <c r="N287" s="613"/>
      <c r="P287" s="330"/>
      <c r="Q287" s="621">
        <f>IF(L287=0,1,0)</f>
        <v>0</v>
      </c>
      <c r="X287" s="586"/>
      <c r="Y287" s="586"/>
    </row>
    <row r="288" spans="1:25" ht="30.75" customHeight="1" x14ac:dyDescent="0.25">
      <c r="A288" s="664">
        <f>'Unit Data from Audit Worksheet'!A322</f>
        <v>966</v>
      </c>
      <c r="B288" s="181"/>
      <c r="C288" s="182" t="str">
        <f>'Unit Data from Audit Worksheet'!B322</f>
        <v>Telephone number</v>
      </c>
      <c r="D288" s="363"/>
      <c r="E288" s="665">
        <f>'Unit Data from Audit Worksheet'!D322</f>
        <v>0</v>
      </c>
      <c r="F288" s="666" t="str">
        <f>'Unit Data from Audit Worksheet'!F322</f>
        <v>Required</v>
      </c>
      <c r="G288" s="356"/>
      <c r="H288" s="353"/>
      <c r="I288" s="38"/>
      <c r="J288" s="184">
        <v>966</v>
      </c>
      <c r="K288" s="667" t="s">
        <v>519</v>
      </c>
      <c r="L288" s="668">
        <f t="shared" si="28"/>
        <v>0</v>
      </c>
      <c r="N288" s="613"/>
      <c r="P288" s="330"/>
      <c r="Q288" s="621">
        <f>IF(L288=0,1,0)</f>
        <v>1</v>
      </c>
      <c r="X288" s="586"/>
      <c r="Y288" s="586"/>
    </row>
    <row r="289" spans="1:25" ht="30.75" customHeight="1" x14ac:dyDescent="0.25">
      <c r="A289" s="664">
        <f>'Unit Data from Audit Worksheet'!A323</f>
        <v>968</v>
      </c>
      <c r="B289" s="181"/>
      <c r="C289" s="182" t="str">
        <f>'Unit Data from Audit Worksheet'!B323</f>
        <v>E-mail address</v>
      </c>
      <c r="D289" s="363"/>
      <c r="E289" s="665">
        <f>'Unit Data from Audit Worksheet'!D323</f>
        <v>0</v>
      </c>
      <c r="F289" s="666" t="str">
        <f>'Unit Data from Audit Worksheet'!F323</f>
        <v>Required</v>
      </c>
      <c r="G289" s="356"/>
      <c r="H289" s="353"/>
      <c r="I289" s="38"/>
      <c r="J289" s="184">
        <v>968</v>
      </c>
      <c r="K289" s="667" t="s">
        <v>520</v>
      </c>
      <c r="L289" s="668">
        <f t="shared" si="28"/>
        <v>0</v>
      </c>
      <c r="N289" s="613"/>
      <c r="P289" s="330"/>
      <c r="Q289" s="621">
        <f>IF(L289=0,1,0)</f>
        <v>1</v>
      </c>
      <c r="X289" s="586"/>
      <c r="Y289" s="586"/>
    </row>
    <row r="290" spans="1:25" ht="75.599999999999994" customHeight="1" x14ac:dyDescent="0.25">
      <c r="A290" s="671">
        <f>+'TD Info Completed by Auditor'!D74</f>
        <v>980</v>
      </c>
      <c r="B290" s="373" t="s">
        <v>837</v>
      </c>
      <c r="C290" s="388" t="str">
        <f>+'TD Info Completed by Auditor'!E74</f>
        <v>Date the Auditor presented or plans to present the Audit to the Governing Board</v>
      </c>
      <c r="D290" s="363"/>
      <c r="E290" s="672" t="str">
        <f>IF('TD Info Completed by Auditor'!G74&gt;0,'TD Info Completed by Auditor'!G74," ")</f>
        <v xml:space="preserve"> </v>
      </c>
      <c r="F290" s="673" t="s">
        <v>1046</v>
      </c>
      <c r="G290" s="356"/>
      <c r="H290" s="353"/>
      <c r="I290" s="38"/>
      <c r="J290" s="389">
        <v>980</v>
      </c>
      <c r="K290" s="390" t="s">
        <v>799</v>
      </c>
      <c r="L290" s="674" t="str">
        <f t="shared" si="28"/>
        <v xml:space="preserve"> </v>
      </c>
      <c r="N290" s="613"/>
      <c r="P290" s="330"/>
      <c r="Q290" s="621"/>
      <c r="X290" s="586"/>
      <c r="Y290" s="586"/>
    </row>
    <row r="291" spans="1:25" ht="83.45" customHeight="1" x14ac:dyDescent="0.25">
      <c r="A291" s="643"/>
      <c r="B291" s="97"/>
      <c r="C291" s="644"/>
      <c r="D291" s="646"/>
      <c r="E291" s="647"/>
      <c r="F291" s="648"/>
      <c r="G291" s="649"/>
      <c r="H291" s="650"/>
      <c r="I291" s="38"/>
      <c r="J291" s="174">
        <v>999</v>
      </c>
      <c r="K291" s="659" t="s">
        <v>293</v>
      </c>
      <c r="L291" s="675" t="e">
        <f>'Unit Data from Audit Worksheet'!D3</f>
        <v>#N/A</v>
      </c>
      <c r="M291" s="639"/>
      <c r="N291" s="676" t="s">
        <v>1045</v>
      </c>
      <c r="O291" s="676" t="s">
        <v>1044</v>
      </c>
      <c r="P291" s="330"/>
      <c r="W291" s="3" t="b">
        <f>EXACT(A291,J291)</f>
        <v>0</v>
      </c>
      <c r="X291" s="586" t="e">
        <f t="shared" si="30"/>
        <v>#N/A</v>
      </c>
      <c r="Y291" s="586" t="e">
        <f t="shared" si="31"/>
        <v>#N/A</v>
      </c>
    </row>
    <row r="292" spans="1:25" x14ac:dyDescent="0.25">
      <c r="A292" s="295"/>
      <c r="B292" s="295"/>
      <c r="C292" s="295"/>
      <c r="D292" s="295"/>
      <c r="E292" s="295"/>
      <c r="F292" s="295"/>
      <c r="G292" s="295"/>
      <c r="H292" s="295"/>
      <c r="I292" s="295"/>
      <c r="J292" s="3"/>
      <c r="K292" s="3"/>
      <c r="L292" s="3"/>
      <c r="N292" s="4"/>
      <c r="P292" s="331"/>
    </row>
    <row r="293" spans="1:25" x14ac:dyDescent="0.25">
      <c r="D293" s="678"/>
      <c r="E293" s="679"/>
      <c r="F293" s="679"/>
      <c r="G293" s="680"/>
      <c r="H293" s="679"/>
      <c r="I293" s="681"/>
      <c r="K293" s="10"/>
      <c r="L293" s="682"/>
      <c r="N293" s="4"/>
      <c r="P293" s="331"/>
    </row>
    <row r="294" spans="1:25" ht="18.75" x14ac:dyDescent="0.3">
      <c r="A294" s="163" t="s">
        <v>451</v>
      </c>
      <c r="B294" s="164"/>
      <c r="C294" s="165"/>
      <c r="D294" s="166"/>
      <c r="E294" s="167"/>
      <c r="F294" s="679"/>
      <c r="G294" s="680"/>
      <c r="H294" s="679"/>
      <c r="I294" s="681"/>
      <c r="L294" s="682"/>
      <c r="N294" s="4"/>
      <c r="P294" s="331"/>
    </row>
    <row r="295" spans="1:25" ht="117" customHeight="1" x14ac:dyDescent="0.55000000000000004">
      <c r="A295" s="341">
        <f>'Unit Data from Audit Worksheet'!A88</f>
        <v>590</v>
      </c>
      <c r="B295" s="341"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80"/>
      <c r="H295" s="679"/>
      <c r="I295" s="681"/>
      <c r="J295" s="156" t="e">
        <f>SUM(Q5:Q295)</f>
        <v>#N/A</v>
      </c>
      <c r="K295" s="155" t="s">
        <v>553</v>
      </c>
      <c r="L295" s="682" t="e">
        <f>SUM(G5:G245)</f>
        <v>#N/A</v>
      </c>
      <c r="N295" s="4"/>
      <c r="P295" s="331"/>
    </row>
    <row r="296" spans="1:25" ht="14.25" customHeight="1" x14ac:dyDescent="0.25">
      <c r="A296" s="295"/>
      <c r="B296" s="295"/>
      <c r="C296" s="295"/>
      <c r="D296" s="295"/>
      <c r="E296" s="295"/>
      <c r="F296" s="679"/>
      <c r="G296" s="680"/>
      <c r="H296" s="679"/>
      <c r="I296" s="681"/>
      <c r="K296" s="10"/>
      <c r="L296" s="683"/>
      <c r="P296" s="331"/>
      <c r="Q296" s="85"/>
    </row>
    <row r="297" spans="1:25" x14ac:dyDescent="0.25">
      <c r="A297" s="295"/>
      <c r="B297" s="295"/>
      <c r="C297" s="295"/>
      <c r="D297" s="295"/>
      <c r="E297" s="295"/>
      <c r="F297" s="679"/>
      <c r="G297" s="680"/>
      <c r="H297" s="679"/>
      <c r="I297" s="681"/>
      <c r="K297" s="10"/>
      <c r="L297" s="683"/>
      <c r="P297" s="331"/>
    </row>
    <row r="298" spans="1:25" ht="18.75" customHeight="1" x14ac:dyDescent="0.25">
      <c r="A298" s="295"/>
      <c r="B298" s="295"/>
      <c r="C298" s="295"/>
      <c r="D298" s="295"/>
      <c r="E298" s="295"/>
      <c r="F298" s="679"/>
      <c r="G298" s="680"/>
      <c r="H298" s="679"/>
      <c r="I298" s="681"/>
      <c r="J298" s="5">
        <f>SUM(J5:J245)</f>
        <v>98821</v>
      </c>
      <c r="K298" s="10"/>
      <c r="L298" s="683"/>
      <c r="P298" s="331"/>
    </row>
    <row r="299" spans="1:25" ht="30.75" customHeight="1" x14ac:dyDescent="0.25">
      <c r="A299" s="295"/>
      <c r="B299" s="295"/>
      <c r="C299" s="295"/>
      <c r="D299" s="295"/>
      <c r="E299" s="295"/>
      <c r="F299" s="679"/>
      <c r="G299" s="680"/>
      <c r="H299" s="679"/>
      <c r="I299" s="681"/>
      <c r="J299" s="5">
        <f>SUM(J261:J265)+SUM(J277:J290)</f>
        <v>13934</v>
      </c>
      <c r="K299" s="10"/>
      <c r="L299" s="683"/>
      <c r="P299" s="331"/>
    </row>
    <row r="300" spans="1:25" ht="30.75" customHeight="1" x14ac:dyDescent="0.25">
      <c r="A300" s="295"/>
      <c r="B300" s="295"/>
      <c r="C300" s="295"/>
      <c r="D300" s="295"/>
      <c r="E300" s="295"/>
      <c r="F300" s="679"/>
      <c r="G300" s="680"/>
      <c r="H300" s="679"/>
      <c r="I300" s="681"/>
      <c r="J300" s="5">
        <f>+J298+J299</f>
        <v>112755</v>
      </c>
      <c r="K300" s="10"/>
      <c r="L300" s="683"/>
      <c r="P300" s="331"/>
    </row>
    <row r="301" spans="1:25" ht="30.75" customHeight="1" x14ac:dyDescent="0.25">
      <c r="A301" s="295"/>
      <c r="B301" s="295"/>
      <c r="C301" s="295"/>
      <c r="D301" s="295"/>
      <c r="E301" s="295"/>
      <c r="F301" s="679"/>
      <c r="G301" s="680"/>
      <c r="H301" s="679"/>
      <c r="I301" s="681"/>
      <c r="J301" s="5">
        <f>+'Unit Data from Audit Worksheet'!A327</f>
        <v>42872</v>
      </c>
      <c r="K301" s="10"/>
      <c r="L301" s="683"/>
      <c r="P301" s="331"/>
    </row>
    <row r="302" spans="1:25" ht="30.75" customHeight="1" x14ac:dyDescent="0.25">
      <c r="A302" s="295"/>
      <c r="B302" s="295"/>
      <c r="C302" s="295"/>
      <c r="D302" s="295"/>
      <c r="E302" s="295"/>
      <c r="F302" s="679"/>
      <c r="G302" s="680"/>
      <c r="H302" s="679"/>
      <c r="I302" s="681"/>
      <c r="J302" s="5">
        <f>+J300-J301</f>
        <v>69883</v>
      </c>
      <c r="K302" s="10"/>
      <c r="L302" s="683"/>
      <c r="P302" s="331"/>
    </row>
    <row r="303" spans="1:25" ht="30.75" customHeight="1" x14ac:dyDescent="0.25">
      <c r="A303" s="295"/>
      <c r="B303" s="295"/>
      <c r="C303" s="295"/>
      <c r="D303" s="295"/>
      <c r="E303" s="295"/>
      <c r="F303" s="679"/>
      <c r="G303" s="680"/>
      <c r="H303" s="679"/>
      <c r="I303" s="681"/>
      <c r="K303" s="10"/>
      <c r="L303" s="683"/>
      <c r="P303" s="331"/>
    </row>
    <row r="304" spans="1:25" x14ac:dyDescent="0.25">
      <c r="A304" s="295"/>
      <c r="B304" s="295"/>
      <c r="C304" s="295"/>
      <c r="D304" s="295"/>
      <c r="E304" s="295"/>
      <c r="I304" s="681"/>
      <c r="K304" s="10"/>
      <c r="L304" s="683"/>
      <c r="P304" s="331"/>
    </row>
    <row r="305" spans="1:16" x14ac:dyDescent="0.25">
      <c r="A305" s="295"/>
      <c r="B305" s="295"/>
      <c r="C305" s="295"/>
      <c r="D305" s="295"/>
      <c r="E305" s="295"/>
      <c r="I305" s="681"/>
      <c r="L305" s="683"/>
      <c r="P305" s="331"/>
    </row>
    <row r="306" spans="1:16" x14ac:dyDescent="0.25">
      <c r="A306" s="5"/>
      <c r="B306" s="684"/>
      <c r="C306" s="26"/>
      <c r="D306" s="79"/>
      <c r="I306" s="681"/>
      <c r="L306" s="683"/>
      <c r="P306" s="331"/>
    </row>
    <row r="307" spans="1:16" x14ac:dyDescent="0.25">
      <c r="A307" s="5"/>
      <c r="B307" s="684"/>
      <c r="C307" s="26"/>
      <c r="D307" s="79"/>
      <c r="L307" s="683"/>
      <c r="P307" s="331"/>
    </row>
    <row r="308" spans="1:16" x14ac:dyDescent="0.25">
      <c r="D308" s="79"/>
      <c r="P308" s="331"/>
    </row>
    <row r="309" spans="1:16" x14ac:dyDescent="0.25">
      <c r="D309" s="79"/>
      <c r="P309" s="331"/>
    </row>
    <row r="310" spans="1:16" x14ac:dyDescent="0.25">
      <c r="D310" s="79"/>
      <c r="P310" s="331"/>
    </row>
    <row r="311" spans="1:16" x14ac:dyDescent="0.25">
      <c r="D311" s="79"/>
      <c r="P311" s="331"/>
    </row>
    <row r="312" spans="1:16" x14ac:dyDescent="0.25">
      <c r="A312" s="5"/>
      <c r="B312" s="684"/>
      <c r="C312" s="26"/>
      <c r="D312" s="79"/>
      <c r="P312" s="331"/>
    </row>
    <row r="313" spans="1:16" x14ac:dyDescent="0.25">
      <c r="A313" s="5"/>
      <c r="B313" s="684"/>
      <c r="C313" s="26"/>
      <c r="D313" s="79"/>
      <c r="P313" s="331"/>
    </row>
    <row r="314" spans="1:16" x14ac:dyDescent="0.25">
      <c r="D314" s="79"/>
      <c r="P314" s="331"/>
    </row>
    <row r="315" spans="1:16" x14ac:dyDescent="0.25">
      <c r="D315" s="79"/>
      <c r="P315" s="331"/>
    </row>
    <row r="316" spans="1:16" x14ac:dyDescent="0.25">
      <c r="D316" s="79"/>
      <c r="P316" s="331"/>
    </row>
    <row r="317" spans="1:16" x14ac:dyDescent="0.25">
      <c r="D317" s="79"/>
      <c r="P317" s="331"/>
    </row>
    <row r="318" spans="1:16" x14ac:dyDescent="0.25">
      <c r="A318" s="5"/>
      <c r="B318" s="684"/>
      <c r="C318" s="26"/>
      <c r="D318" s="79"/>
      <c r="P318" s="331"/>
    </row>
    <row r="319" spans="1:16" x14ac:dyDescent="0.25">
      <c r="A319" s="5"/>
      <c r="B319" s="684"/>
      <c r="C319" s="26"/>
      <c r="D319" s="79"/>
      <c r="P319" s="331"/>
    </row>
    <row r="320" spans="1:16" x14ac:dyDescent="0.25">
      <c r="D320" s="79"/>
      <c r="P320" s="331"/>
    </row>
    <row r="321" spans="1:16" x14ac:dyDescent="0.25">
      <c r="D321" s="79"/>
      <c r="P321" s="331"/>
    </row>
    <row r="322" spans="1:16" x14ac:dyDescent="0.25">
      <c r="D322" s="79"/>
      <c r="P322" s="331"/>
    </row>
    <row r="323" spans="1:16" x14ac:dyDescent="0.25">
      <c r="D323" s="79"/>
      <c r="P323" s="331"/>
    </row>
    <row r="324" spans="1:16" x14ac:dyDescent="0.25">
      <c r="A324" s="5"/>
      <c r="B324" s="684"/>
      <c r="C324" s="26"/>
      <c r="D324" s="79"/>
      <c r="P324" s="331"/>
    </row>
    <row r="325" spans="1:16" x14ac:dyDescent="0.25">
      <c r="A325" s="5"/>
      <c r="B325" s="684"/>
      <c r="C325" s="26"/>
      <c r="D325" s="79"/>
      <c r="P325" s="331"/>
    </row>
    <row r="326" spans="1:16" x14ac:dyDescent="0.25">
      <c r="A326" s="5"/>
      <c r="B326" s="684"/>
      <c r="C326" s="26"/>
      <c r="D326" s="79"/>
      <c r="P326" s="331"/>
    </row>
    <row r="327" spans="1:16" x14ac:dyDescent="0.25">
      <c r="A327" s="5"/>
      <c r="B327" s="684"/>
      <c r="C327" s="26"/>
      <c r="D327" s="79"/>
      <c r="P327" s="331"/>
    </row>
    <row r="328" spans="1:16" x14ac:dyDescent="0.25">
      <c r="D328" s="79"/>
      <c r="P328" s="331"/>
    </row>
    <row r="329" spans="1:16" x14ac:dyDescent="0.25">
      <c r="D329" s="79"/>
      <c r="P329" s="331"/>
    </row>
    <row r="330" spans="1:16" x14ac:dyDescent="0.25">
      <c r="D330" s="79"/>
      <c r="P330" s="331"/>
    </row>
    <row r="331" spans="1:16" x14ac:dyDescent="0.25">
      <c r="A331" s="5"/>
      <c r="B331" s="684"/>
      <c r="C331" s="26"/>
      <c r="D331" s="79"/>
      <c r="P331" s="331"/>
    </row>
    <row r="332" spans="1:16" x14ac:dyDescent="0.25">
      <c r="A332" s="5"/>
      <c r="B332" s="684"/>
      <c r="C332" s="26"/>
      <c r="D332" s="79"/>
      <c r="P332" s="331"/>
    </row>
    <row r="333" spans="1:16" x14ac:dyDescent="0.25">
      <c r="A333" s="5"/>
      <c r="B333" s="684"/>
      <c r="C333" s="26"/>
      <c r="D333" s="79"/>
      <c r="P333" s="331"/>
    </row>
    <row r="334" spans="1:16" x14ac:dyDescent="0.25">
      <c r="A334" s="5"/>
      <c r="B334" s="684"/>
      <c r="C334" s="26"/>
      <c r="D334" s="79"/>
      <c r="P334" s="331"/>
    </row>
    <row r="335" spans="1:16" x14ac:dyDescent="0.25">
      <c r="A335" s="5"/>
      <c r="B335" s="684"/>
      <c r="C335" s="26"/>
      <c r="D335" s="79"/>
      <c r="P335" s="331"/>
    </row>
    <row r="336" spans="1:16" x14ac:dyDescent="0.25">
      <c r="A336" s="5"/>
      <c r="B336" s="684"/>
      <c r="C336" s="26"/>
      <c r="D336" s="79"/>
      <c r="P336" s="331"/>
    </row>
    <row r="337" spans="1:16" x14ac:dyDescent="0.25">
      <c r="A337" s="5"/>
      <c r="B337" s="684"/>
      <c r="C337" s="26"/>
      <c r="D337" s="79"/>
      <c r="P337" s="331"/>
    </row>
    <row r="338" spans="1:16" x14ac:dyDescent="0.25">
      <c r="A338" s="5"/>
      <c r="B338" s="684"/>
      <c r="C338" s="26"/>
      <c r="D338" s="79"/>
      <c r="P338" s="331"/>
    </row>
    <row r="339" spans="1:16" x14ac:dyDescent="0.25">
      <c r="A339" s="5"/>
      <c r="B339" s="684"/>
      <c r="C339" s="26"/>
      <c r="D339" s="79"/>
      <c r="P339" s="331"/>
    </row>
    <row r="340" spans="1:16" x14ac:dyDescent="0.25">
      <c r="A340" s="5"/>
      <c r="B340" s="684"/>
      <c r="C340" s="26"/>
      <c r="D340" s="79"/>
      <c r="P340" s="331"/>
    </row>
    <row r="341" spans="1:16" x14ac:dyDescent="0.25">
      <c r="A341" s="5"/>
      <c r="B341" s="684"/>
      <c r="C341" s="26"/>
      <c r="D341" s="79"/>
      <c r="P341" s="331"/>
    </row>
    <row r="342" spans="1:16" x14ac:dyDescent="0.25">
      <c r="A342" s="5"/>
      <c r="B342" s="684"/>
      <c r="C342" s="26"/>
      <c r="D342" s="79"/>
      <c r="P342" s="331"/>
    </row>
    <row r="343" spans="1:16" x14ac:dyDescent="0.25">
      <c r="A343" s="5"/>
      <c r="B343" s="684"/>
      <c r="C343" s="26"/>
      <c r="D343" s="79"/>
      <c r="P343" s="331"/>
    </row>
    <row r="344" spans="1:16" x14ac:dyDescent="0.25">
      <c r="A344" s="5"/>
      <c r="B344" s="684"/>
      <c r="C344" s="26"/>
      <c r="D344" s="79"/>
      <c r="P344" s="331"/>
    </row>
    <row r="345" spans="1:16" x14ac:dyDescent="0.25">
      <c r="A345" s="5"/>
      <c r="B345" s="684"/>
      <c r="C345" s="26"/>
      <c r="D345" s="79"/>
      <c r="P345" s="331"/>
    </row>
    <row r="346" spans="1:16" x14ac:dyDescent="0.25">
      <c r="A346" s="5"/>
      <c r="B346" s="684"/>
      <c r="C346" s="26"/>
      <c r="D346" s="79"/>
      <c r="P346" s="331"/>
    </row>
    <row r="347" spans="1:16" x14ac:dyDescent="0.25">
      <c r="A347" s="5"/>
      <c r="B347" s="684"/>
      <c r="C347" s="26"/>
      <c r="D347" s="79"/>
      <c r="P347" s="331"/>
    </row>
    <row r="348" spans="1:16" x14ac:dyDescent="0.25">
      <c r="A348" s="5"/>
      <c r="B348" s="684"/>
      <c r="C348" s="26"/>
      <c r="D348" s="79"/>
      <c r="P348" s="331"/>
    </row>
    <row r="349" spans="1:16" x14ac:dyDescent="0.25">
      <c r="A349" s="5"/>
      <c r="B349" s="684"/>
      <c r="C349" s="26"/>
      <c r="D349" s="79"/>
      <c r="P349" s="331"/>
    </row>
    <row r="350" spans="1:16" x14ac:dyDescent="0.25">
      <c r="A350" s="5"/>
      <c r="B350" s="684"/>
      <c r="C350" s="26"/>
      <c r="D350" s="79"/>
      <c r="P350" s="331"/>
    </row>
    <row r="351" spans="1:16" x14ac:dyDescent="0.25">
      <c r="A351" s="5"/>
      <c r="B351" s="684"/>
      <c r="C351" s="26"/>
      <c r="D351" s="79"/>
      <c r="P351" s="331"/>
    </row>
    <row r="352" spans="1:16" x14ac:dyDescent="0.25">
      <c r="A352" s="5"/>
      <c r="B352" s="684"/>
      <c r="C352" s="26"/>
      <c r="D352" s="79"/>
      <c r="P352" s="331"/>
    </row>
    <row r="353" spans="1:16" x14ac:dyDescent="0.25">
      <c r="A353" s="5"/>
      <c r="B353" s="684"/>
      <c r="C353" s="26"/>
      <c r="D353" s="79"/>
      <c r="P353" s="331"/>
    </row>
    <row r="354" spans="1:16" x14ac:dyDescent="0.25">
      <c r="A354" s="5"/>
      <c r="B354" s="684"/>
      <c r="C354" s="26"/>
      <c r="D354" s="79"/>
      <c r="P354" s="331"/>
    </row>
    <row r="355" spans="1:16" x14ac:dyDescent="0.25">
      <c r="A355" s="5"/>
      <c r="B355" s="684"/>
      <c r="C355" s="26"/>
      <c r="D355" s="79"/>
      <c r="P355" s="331"/>
    </row>
    <row r="356" spans="1:16" x14ac:dyDescent="0.25">
      <c r="A356" s="5"/>
      <c r="B356" s="684"/>
      <c r="C356" s="26"/>
      <c r="D356" s="79"/>
      <c r="P356" s="331"/>
    </row>
    <row r="357" spans="1:16" x14ac:dyDescent="0.25">
      <c r="A357" s="5"/>
      <c r="B357" s="684"/>
      <c r="C357" s="26"/>
      <c r="D357" s="79"/>
      <c r="P357" s="331"/>
    </row>
    <row r="358" spans="1:16" x14ac:dyDescent="0.25">
      <c r="A358" s="5"/>
      <c r="B358" s="684"/>
      <c r="C358" s="26"/>
      <c r="D358" s="79"/>
      <c r="P358" s="331"/>
    </row>
    <row r="359" spans="1:16" x14ac:dyDescent="0.25">
      <c r="A359" s="5"/>
      <c r="B359" s="684"/>
      <c r="C359" s="26"/>
      <c r="D359" s="79"/>
      <c r="P359" s="331"/>
    </row>
    <row r="360" spans="1:16" x14ac:dyDescent="0.25">
      <c r="A360" s="5"/>
      <c r="B360" s="684"/>
      <c r="C360" s="26"/>
      <c r="D360" s="79"/>
      <c r="P360" s="331"/>
    </row>
    <row r="361" spans="1:16" x14ac:dyDescent="0.25">
      <c r="A361" s="5"/>
      <c r="B361" s="684"/>
      <c r="C361" s="26"/>
      <c r="D361" s="79"/>
      <c r="P361" s="331"/>
    </row>
    <row r="362" spans="1:16" x14ac:dyDescent="0.25">
      <c r="A362" s="5"/>
      <c r="B362" s="684"/>
      <c r="C362" s="26"/>
      <c r="D362" s="79"/>
      <c r="P362" s="331"/>
    </row>
    <row r="363" spans="1:16" x14ac:dyDescent="0.25">
      <c r="A363" s="5"/>
      <c r="B363" s="684"/>
      <c r="C363" s="26"/>
      <c r="D363" s="79"/>
      <c r="P363" s="331"/>
    </row>
    <row r="364" spans="1:16" x14ac:dyDescent="0.25">
      <c r="A364" s="5"/>
      <c r="B364" s="684"/>
      <c r="C364" s="26"/>
      <c r="D364" s="79"/>
      <c r="P364" s="331"/>
    </row>
    <row r="365" spans="1:16" x14ac:dyDescent="0.25">
      <c r="A365" s="5"/>
      <c r="B365" s="684"/>
      <c r="C365" s="26"/>
      <c r="D365" s="79"/>
      <c r="P365" s="331"/>
    </row>
    <row r="366" spans="1:16" x14ac:dyDescent="0.25">
      <c r="A366" s="5"/>
      <c r="B366" s="684"/>
      <c r="C366" s="26"/>
      <c r="D366" s="79"/>
      <c r="P366" s="331"/>
    </row>
    <row r="367" spans="1:16" x14ac:dyDescent="0.25">
      <c r="A367" s="5"/>
      <c r="B367" s="684"/>
      <c r="C367" s="26"/>
      <c r="D367" s="79"/>
      <c r="P367" s="331"/>
    </row>
    <row r="368" spans="1:16" x14ac:dyDescent="0.25">
      <c r="A368" s="5"/>
      <c r="B368" s="684"/>
      <c r="C368" s="26"/>
      <c r="D368" s="79"/>
      <c r="P368" s="331"/>
    </row>
    <row r="369" spans="1:16" x14ac:dyDescent="0.25">
      <c r="A369" s="5"/>
      <c r="B369" s="684"/>
      <c r="C369" s="26"/>
      <c r="D369" s="79"/>
      <c r="P369" s="331"/>
    </row>
    <row r="370" spans="1:16" x14ac:dyDescent="0.25">
      <c r="A370" s="5"/>
      <c r="B370" s="684"/>
      <c r="C370" s="26"/>
      <c r="D370" s="79"/>
      <c r="P370" s="331"/>
    </row>
    <row r="371" spans="1:16" x14ac:dyDescent="0.25">
      <c r="A371" s="5"/>
      <c r="B371" s="684"/>
      <c r="C371" s="26"/>
      <c r="D371" s="79"/>
      <c r="P371" s="331"/>
    </row>
    <row r="372" spans="1:16" x14ac:dyDescent="0.25">
      <c r="A372" s="5"/>
      <c r="B372" s="684"/>
      <c r="C372" s="26"/>
      <c r="D372" s="79"/>
      <c r="P372" s="331"/>
    </row>
    <row r="373" spans="1:16" x14ac:dyDescent="0.25">
      <c r="A373" s="5"/>
      <c r="B373" s="684"/>
      <c r="C373" s="26"/>
      <c r="D373" s="79"/>
      <c r="P373" s="331"/>
    </row>
    <row r="374" spans="1:16" x14ac:dyDescent="0.25">
      <c r="A374" s="5"/>
      <c r="B374" s="684"/>
      <c r="C374" s="26"/>
      <c r="D374" s="79"/>
      <c r="P374" s="331"/>
    </row>
    <row r="375" spans="1:16" x14ac:dyDescent="0.25">
      <c r="A375" s="5"/>
      <c r="B375" s="684"/>
      <c r="C375" s="26"/>
      <c r="D375" s="79"/>
      <c r="P375" s="331"/>
    </row>
    <row r="376" spans="1:16" x14ac:dyDescent="0.25">
      <c r="A376" s="5"/>
      <c r="B376" s="684"/>
      <c r="C376" s="26"/>
      <c r="D376" s="79"/>
      <c r="P376" s="331"/>
    </row>
    <row r="377" spans="1:16" x14ac:dyDescent="0.25">
      <c r="A377" s="5"/>
      <c r="B377" s="684"/>
      <c r="C377" s="26"/>
      <c r="D377" s="79"/>
      <c r="P377" s="331"/>
    </row>
    <row r="378" spans="1:16" x14ac:dyDescent="0.25">
      <c r="A378" s="5"/>
      <c r="B378" s="684"/>
      <c r="C378" s="26"/>
      <c r="D378" s="79"/>
      <c r="P378" s="331"/>
    </row>
    <row r="379" spans="1:16" x14ac:dyDescent="0.25">
      <c r="A379" s="5"/>
      <c r="B379" s="684"/>
      <c r="C379" s="26"/>
      <c r="D379" s="79"/>
      <c r="P379" s="331"/>
    </row>
    <row r="380" spans="1:16" x14ac:dyDescent="0.25">
      <c r="A380" s="5"/>
      <c r="B380" s="684"/>
      <c r="C380" s="26"/>
      <c r="D380" s="79"/>
      <c r="P380" s="331"/>
    </row>
    <row r="381" spans="1:16" x14ac:dyDescent="0.25">
      <c r="A381" s="5"/>
      <c r="B381" s="684"/>
      <c r="C381" s="26"/>
      <c r="D381" s="79"/>
      <c r="P381" s="331"/>
    </row>
    <row r="382" spans="1:16" x14ac:dyDescent="0.25">
      <c r="A382" s="5"/>
      <c r="B382" s="684"/>
      <c r="C382" s="26"/>
      <c r="D382" s="79"/>
      <c r="P382" s="331"/>
    </row>
    <row r="383" spans="1:16" x14ac:dyDescent="0.25">
      <c r="A383" s="5"/>
      <c r="B383" s="684"/>
      <c r="C383" s="26"/>
      <c r="D383" s="79"/>
      <c r="P383" s="331"/>
    </row>
    <row r="384" spans="1:16" x14ac:dyDescent="0.25">
      <c r="A384" s="5"/>
      <c r="B384" s="684"/>
      <c r="C384" s="26"/>
      <c r="D384" s="79"/>
      <c r="P384" s="331"/>
    </row>
    <row r="385" spans="1:16" x14ac:dyDescent="0.25">
      <c r="A385" s="5"/>
      <c r="B385" s="684"/>
      <c r="C385" s="26"/>
      <c r="D385" s="79"/>
      <c r="P385" s="331"/>
    </row>
    <row r="386" spans="1:16" x14ac:dyDescent="0.25">
      <c r="A386" s="5"/>
      <c r="B386" s="684"/>
      <c r="C386" s="26"/>
      <c r="D386" s="79"/>
      <c r="P386" s="331"/>
    </row>
    <row r="387" spans="1:16" x14ac:dyDescent="0.25">
      <c r="A387" s="5"/>
      <c r="B387" s="684"/>
      <c r="C387" s="26"/>
      <c r="D387" s="79"/>
      <c r="P387" s="331"/>
    </row>
    <row r="388" spans="1:16" x14ac:dyDescent="0.25">
      <c r="A388" s="5"/>
      <c r="B388" s="684"/>
      <c r="C388" s="26"/>
      <c r="D388" s="79"/>
      <c r="P388" s="331"/>
    </row>
    <row r="389" spans="1:16" x14ac:dyDescent="0.25">
      <c r="A389" s="5"/>
      <c r="B389" s="684"/>
      <c r="C389" s="26"/>
      <c r="D389" s="79"/>
      <c r="P389" s="331"/>
    </row>
    <row r="390" spans="1:16" x14ac:dyDescent="0.25">
      <c r="A390" s="5"/>
      <c r="B390" s="684"/>
      <c r="C390" s="26"/>
      <c r="D390" s="79"/>
      <c r="P390" s="331"/>
    </row>
    <row r="391" spans="1:16" x14ac:dyDescent="0.25">
      <c r="A391" s="5"/>
      <c r="B391" s="684"/>
      <c r="C391" s="26"/>
      <c r="D391" s="79"/>
      <c r="P391" s="331"/>
    </row>
    <row r="392" spans="1:16" x14ac:dyDescent="0.25">
      <c r="A392" s="5"/>
      <c r="B392" s="684"/>
      <c r="C392" s="26"/>
      <c r="D392" s="79"/>
      <c r="P392" s="331"/>
    </row>
    <row r="393" spans="1:16" x14ac:dyDescent="0.25">
      <c r="A393" s="5"/>
      <c r="B393" s="684"/>
      <c r="C393" s="26"/>
      <c r="D393" s="79"/>
      <c r="P393" s="331"/>
    </row>
    <row r="394" spans="1:16" x14ac:dyDescent="0.25">
      <c r="A394" s="5"/>
      <c r="B394" s="684"/>
      <c r="C394" s="26"/>
      <c r="D394" s="79"/>
      <c r="P394" s="331"/>
    </row>
    <row r="395" spans="1:16" x14ac:dyDescent="0.25">
      <c r="A395" s="5"/>
      <c r="B395" s="684"/>
      <c r="C395" s="26"/>
      <c r="D395" s="79"/>
      <c r="P395" s="331"/>
    </row>
    <row r="396" spans="1:16" x14ac:dyDescent="0.25">
      <c r="A396" s="5"/>
      <c r="B396" s="684"/>
      <c r="C396" s="26"/>
      <c r="D396" s="79"/>
      <c r="P396" s="331"/>
    </row>
    <row r="397" spans="1:16" x14ac:dyDescent="0.25">
      <c r="A397" s="5"/>
      <c r="B397" s="684"/>
      <c r="C397" s="26"/>
      <c r="D397" s="79"/>
      <c r="P397" s="331"/>
    </row>
    <row r="398" spans="1:16" x14ac:dyDescent="0.25">
      <c r="A398" s="5"/>
      <c r="B398" s="684"/>
      <c r="C398" s="26"/>
      <c r="D398" s="79"/>
      <c r="P398" s="331"/>
    </row>
    <row r="399" spans="1:16" x14ac:dyDescent="0.25">
      <c r="A399" s="5"/>
      <c r="B399" s="684"/>
      <c r="C399" s="26"/>
      <c r="D399" s="79"/>
      <c r="P399" s="331"/>
    </row>
    <row r="400" spans="1:16" x14ac:dyDescent="0.25">
      <c r="A400" s="5"/>
      <c r="B400" s="684"/>
      <c r="C400" s="26"/>
      <c r="D400" s="79"/>
      <c r="P400" s="331"/>
    </row>
    <row r="401" spans="1:16" x14ac:dyDescent="0.25">
      <c r="A401" s="5"/>
      <c r="B401" s="684"/>
      <c r="C401" s="26"/>
      <c r="D401" s="79"/>
      <c r="P401" s="331"/>
    </row>
    <row r="402" spans="1:16" x14ac:dyDescent="0.25">
      <c r="A402" s="5"/>
      <c r="B402" s="684"/>
      <c r="C402" s="26"/>
      <c r="D402" s="79"/>
      <c r="P402" s="331"/>
    </row>
    <row r="403" spans="1:16" x14ac:dyDescent="0.25">
      <c r="A403" s="5"/>
      <c r="B403" s="684"/>
      <c r="C403" s="26"/>
      <c r="D403" s="79"/>
      <c r="P403" s="331"/>
    </row>
    <row r="404" spans="1:16" x14ac:dyDescent="0.25">
      <c r="A404" s="5"/>
      <c r="B404" s="684"/>
      <c r="C404" s="26"/>
      <c r="D404" s="79"/>
      <c r="P404" s="331"/>
    </row>
    <row r="405" spans="1:16" x14ac:dyDescent="0.25">
      <c r="A405" s="5"/>
      <c r="B405" s="684"/>
      <c r="C405" s="26"/>
      <c r="D405" s="79"/>
      <c r="P405" s="331"/>
    </row>
    <row r="406" spans="1:16" x14ac:dyDescent="0.25">
      <c r="A406" s="5"/>
      <c r="B406" s="684"/>
      <c r="C406" s="26"/>
      <c r="D406" s="79"/>
      <c r="P406" s="331"/>
    </row>
    <row r="407" spans="1:16" x14ac:dyDescent="0.25">
      <c r="A407" s="5"/>
      <c r="B407" s="684"/>
      <c r="C407" s="26"/>
      <c r="D407" s="79"/>
      <c r="P407" s="331"/>
    </row>
    <row r="408" spans="1:16" x14ac:dyDescent="0.25">
      <c r="A408" s="5"/>
      <c r="B408" s="684"/>
      <c r="C408" s="26"/>
      <c r="D408" s="79"/>
      <c r="P408" s="331"/>
    </row>
    <row r="409" spans="1:16" x14ac:dyDescent="0.25">
      <c r="A409" s="5"/>
      <c r="B409" s="684"/>
      <c r="C409" s="26"/>
      <c r="D409" s="79"/>
      <c r="P409" s="331"/>
    </row>
    <row r="410" spans="1:16" x14ac:dyDescent="0.25">
      <c r="A410" s="5"/>
      <c r="B410" s="684"/>
      <c r="C410" s="26"/>
      <c r="D410" s="79"/>
      <c r="P410" s="331"/>
    </row>
    <row r="411" spans="1:16" x14ac:dyDescent="0.25">
      <c r="A411" s="5"/>
      <c r="B411" s="684"/>
      <c r="C411" s="26"/>
      <c r="D411" s="79"/>
      <c r="P411" s="331"/>
    </row>
    <row r="412" spans="1:16" x14ac:dyDescent="0.25">
      <c r="A412" s="5"/>
      <c r="B412" s="684"/>
      <c r="C412" s="26"/>
      <c r="D412" s="79"/>
      <c r="P412" s="331"/>
    </row>
    <row r="413" spans="1:16" x14ac:dyDescent="0.25">
      <c r="A413" s="5"/>
      <c r="B413" s="684"/>
      <c r="C413" s="26"/>
      <c r="D413" s="79"/>
      <c r="P413" s="331"/>
    </row>
    <row r="414" spans="1:16" x14ac:dyDescent="0.25">
      <c r="A414" s="5"/>
      <c r="B414" s="684"/>
      <c r="C414" s="26"/>
      <c r="D414" s="79"/>
      <c r="P414" s="331"/>
    </row>
    <row r="415" spans="1:16" x14ac:dyDescent="0.25">
      <c r="A415" s="5"/>
      <c r="B415" s="684"/>
      <c r="C415" s="26"/>
      <c r="D415" s="79"/>
      <c r="P415" s="331"/>
    </row>
    <row r="416" spans="1:16" x14ac:dyDescent="0.25">
      <c r="A416" s="5"/>
      <c r="B416" s="684"/>
      <c r="C416" s="26"/>
      <c r="D416" s="79"/>
      <c r="P416" s="331"/>
    </row>
    <row r="417" spans="1:16" x14ac:dyDescent="0.25">
      <c r="A417" s="5"/>
      <c r="B417" s="684"/>
      <c r="C417" s="26"/>
      <c r="D417" s="79"/>
      <c r="P417" s="331"/>
    </row>
    <row r="418" spans="1:16" x14ac:dyDescent="0.25">
      <c r="A418" s="5"/>
      <c r="B418" s="684"/>
      <c r="C418" s="26"/>
      <c r="D418" s="79"/>
      <c r="P418" s="331"/>
    </row>
    <row r="419" spans="1:16" x14ac:dyDescent="0.25">
      <c r="A419" s="5"/>
      <c r="B419" s="684"/>
      <c r="C419" s="26"/>
      <c r="D419" s="79"/>
      <c r="P419" s="331"/>
    </row>
    <row r="420" spans="1:16" x14ac:dyDescent="0.25">
      <c r="A420" s="5"/>
      <c r="B420" s="684"/>
      <c r="C420" s="26"/>
      <c r="D420" s="79"/>
      <c r="P420" s="331"/>
    </row>
    <row r="421" spans="1:16" x14ac:dyDescent="0.25">
      <c r="A421" s="5"/>
      <c r="B421" s="684"/>
      <c r="C421" s="26"/>
      <c r="D421" s="79"/>
      <c r="P421" s="331"/>
    </row>
    <row r="422" spans="1:16" x14ac:dyDescent="0.25">
      <c r="A422" s="5"/>
      <c r="B422" s="684"/>
      <c r="C422" s="26"/>
      <c r="D422" s="79"/>
      <c r="P422" s="331"/>
    </row>
    <row r="423" spans="1:16" x14ac:dyDescent="0.25">
      <c r="A423" s="5"/>
      <c r="B423" s="684"/>
      <c r="C423" s="26"/>
      <c r="D423" s="79"/>
      <c r="P423" s="331"/>
    </row>
    <row r="424" spans="1:16" x14ac:dyDescent="0.25">
      <c r="A424" s="5"/>
      <c r="B424" s="684"/>
      <c r="C424" s="26"/>
      <c r="D424" s="79"/>
      <c r="P424" s="331"/>
    </row>
    <row r="425" spans="1:16" x14ac:dyDescent="0.25">
      <c r="A425" s="5"/>
      <c r="B425" s="684"/>
      <c r="C425" s="26"/>
      <c r="D425" s="79"/>
      <c r="P425" s="331"/>
    </row>
    <row r="426" spans="1:16" x14ac:dyDescent="0.25">
      <c r="A426" s="5"/>
      <c r="B426" s="684"/>
      <c r="C426" s="26"/>
      <c r="D426" s="79"/>
      <c r="P426" s="331"/>
    </row>
    <row r="427" spans="1:16" x14ac:dyDescent="0.25">
      <c r="A427" s="5"/>
      <c r="B427" s="684"/>
      <c r="C427" s="26"/>
      <c r="D427" s="79"/>
      <c r="P427" s="331"/>
    </row>
    <row r="428" spans="1:16" x14ac:dyDescent="0.25">
      <c r="A428" s="5"/>
      <c r="B428" s="684"/>
      <c r="C428" s="26"/>
      <c r="D428" s="79"/>
      <c r="P428" s="331"/>
    </row>
    <row r="429" spans="1:16" x14ac:dyDescent="0.25">
      <c r="A429" s="5"/>
      <c r="B429" s="684"/>
      <c r="C429" s="26"/>
      <c r="D429" s="79"/>
    </row>
    <row r="430" spans="1:16" x14ac:dyDescent="0.25">
      <c r="A430" s="5"/>
      <c r="B430" s="684"/>
      <c r="C430" s="26"/>
      <c r="D430" s="79"/>
      <c r="P430" s="331"/>
    </row>
    <row r="431" spans="1:16" x14ac:dyDescent="0.25">
      <c r="A431" s="5"/>
      <c r="B431" s="684"/>
      <c r="C431" s="26"/>
      <c r="D431" s="79"/>
    </row>
    <row r="432" spans="1:16" x14ac:dyDescent="0.25">
      <c r="A432" s="5"/>
      <c r="B432" s="684"/>
      <c r="C432" s="26"/>
      <c r="D432" s="79"/>
    </row>
    <row r="433" spans="1:4" x14ac:dyDescent="0.25">
      <c r="A433" s="5"/>
      <c r="B433" s="684"/>
      <c r="C433" s="26"/>
      <c r="D433" s="79"/>
    </row>
    <row r="434" spans="1:4" x14ac:dyDescent="0.25">
      <c r="A434" s="5"/>
      <c r="B434" s="684"/>
      <c r="C434" s="26"/>
      <c r="D434" s="79"/>
    </row>
    <row r="435" spans="1:4" x14ac:dyDescent="0.25">
      <c r="A435" s="5"/>
      <c r="B435" s="684"/>
      <c r="C435" s="26"/>
      <c r="D435" s="79"/>
    </row>
    <row r="436" spans="1:4" x14ac:dyDescent="0.25">
      <c r="A436" s="5"/>
      <c r="B436" s="684"/>
      <c r="C436" s="26"/>
      <c r="D436" s="79"/>
    </row>
    <row r="437" spans="1:4" x14ac:dyDescent="0.25">
      <c r="A437" s="5"/>
      <c r="B437" s="684"/>
      <c r="C437" s="26"/>
      <c r="D437" s="79"/>
    </row>
    <row r="438" spans="1:4" x14ac:dyDescent="0.25">
      <c r="A438" s="5"/>
      <c r="B438" s="684"/>
      <c r="C438" s="26"/>
      <c r="D438" s="79"/>
    </row>
    <row r="439" spans="1:4" x14ac:dyDescent="0.25">
      <c r="A439" s="5"/>
      <c r="B439" s="684"/>
      <c r="C439" s="26"/>
      <c r="D439" s="79"/>
    </row>
    <row r="440" spans="1:4" x14ac:dyDescent="0.25">
      <c r="A440" s="5"/>
      <c r="B440" s="684"/>
      <c r="C440" s="26"/>
      <c r="D440" s="79"/>
    </row>
    <row r="441" spans="1:4" x14ac:dyDescent="0.25">
      <c r="A441" s="5"/>
      <c r="B441" s="684"/>
      <c r="C441" s="26"/>
      <c r="D441" s="79"/>
    </row>
    <row r="442" spans="1:4" x14ac:dyDescent="0.25">
      <c r="A442" s="5"/>
      <c r="B442" s="684"/>
      <c r="C442" s="26"/>
      <c r="D442" s="79"/>
    </row>
    <row r="443" spans="1:4" x14ac:dyDescent="0.25">
      <c r="D443" s="79"/>
    </row>
    <row r="444" spans="1:4" x14ac:dyDescent="0.25">
      <c r="D444" s="79"/>
    </row>
    <row r="445" spans="1:4" x14ac:dyDescent="0.25">
      <c r="D445" s="79"/>
    </row>
    <row r="446" spans="1:4" x14ac:dyDescent="0.25">
      <c r="D446" s="79"/>
    </row>
    <row r="447" spans="1:4" x14ac:dyDescent="0.25">
      <c r="D447" s="79"/>
    </row>
    <row r="448" spans="1:4" x14ac:dyDescent="0.25">
      <c r="D448" s="79"/>
    </row>
    <row r="449" spans="4:4" x14ac:dyDescent="0.25">
      <c r="D449" s="79"/>
    </row>
    <row r="450" spans="4:4" x14ac:dyDescent="0.25">
      <c r="D450" s="79"/>
    </row>
    <row r="451" spans="4:4" x14ac:dyDescent="0.25">
      <c r="D451" s="79"/>
    </row>
    <row r="452" spans="4:4" x14ac:dyDescent="0.25">
      <c r="D452" s="79"/>
    </row>
    <row r="453" spans="4:4" x14ac:dyDescent="0.25">
      <c r="D453" s="79"/>
    </row>
    <row r="454" spans="4:4" x14ac:dyDescent="0.25">
      <c r="D454" s="79"/>
    </row>
    <row r="455" spans="4:4" x14ac:dyDescent="0.25">
      <c r="D455" s="79"/>
    </row>
    <row r="456" spans="4:4" x14ac:dyDescent="0.25">
      <c r="D456" s="79"/>
    </row>
    <row r="457" spans="4:4" x14ac:dyDescent="0.25">
      <c r="D457" s="79"/>
    </row>
    <row r="458" spans="4:4" x14ac:dyDescent="0.25">
      <c r="D458" s="79"/>
    </row>
    <row r="459" spans="4:4" x14ac:dyDescent="0.25">
      <c r="D459" s="79"/>
    </row>
    <row r="460" spans="4:4" x14ac:dyDescent="0.25">
      <c r="D460" s="79"/>
    </row>
    <row r="461" spans="4:4" x14ac:dyDescent="0.25">
      <c r="D461" s="79"/>
    </row>
    <row r="462" spans="4:4" x14ac:dyDescent="0.25">
      <c r="D462" s="79"/>
    </row>
    <row r="463" spans="4:4" x14ac:dyDescent="0.25">
      <c r="D463" s="79"/>
    </row>
    <row r="464" spans="4:4" x14ac:dyDescent="0.25">
      <c r="D464" s="79"/>
    </row>
    <row r="465" spans="4:4" x14ac:dyDescent="0.25">
      <c r="D465" s="79"/>
    </row>
    <row r="466" spans="4:4" x14ac:dyDescent="0.25">
      <c r="D466" s="79"/>
    </row>
    <row r="467" spans="4:4" x14ac:dyDescent="0.25">
      <c r="D467" s="79"/>
    </row>
    <row r="468" spans="4:4" x14ac:dyDescent="0.25">
      <c r="D468" s="79"/>
    </row>
    <row r="469" spans="4:4" x14ac:dyDescent="0.25">
      <c r="D469" s="79"/>
    </row>
    <row r="470" spans="4:4" x14ac:dyDescent="0.25">
      <c r="D470" s="79"/>
    </row>
    <row r="471" spans="4:4" x14ac:dyDescent="0.25">
      <c r="D471" s="79"/>
    </row>
    <row r="472" spans="4:4" x14ac:dyDescent="0.25">
      <c r="D472" s="79"/>
    </row>
    <row r="473" spans="4:4" x14ac:dyDescent="0.25">
      <c r="D473" s="79"/>
    </row>
    <row r="474" spans="4:4" x14ac:dyDescent="0.25">
      <c r="D474" s="79"/>
    </row>
    <row r="475" spans="4:4" x14ac:dyDescent="0.25">
      <c r="D475" s="79"/>
    </row>
    <row r="476" spans="4:4" x14ac:dyDescent="0.25">
      <c r="D476" s="79"/>
    </row>
    <row r="477" spans="4:4" x14ac:dyDescent="0.25">
      <c r="D477" s="79"/>
    </row>
    <row r="478" spans="4:4" x14ac:dyDescent="0.25">
      <c r="D478" s="79"/>
    </row>
    <row r="479" spans="4:4" x14ac:dyDescent="0.25">
      <c r="D479" s="79"/>
    </row>
    <row r="480" spans="4:4" x14ac:dyDescent="0.25">
      <c r="D480" s="79"/>
    </row>
    <row r="481" spans="4:4" x14ac:dyDescent="0.25">
      <c r="D481" s="79"/>
    </row>
    <row r="482" spans="4:4" x14ac:dyDescent="0.25">
      <c r="D482" s="79"/>
    </row>
    <row r="483" spans="4:4" x14ac:dyDescent="0.25">
      <c r="D483" s="79"/>
    </row>
    <row r="484" spans="4:4" x14ac:dyDescent="0.25">
      <c r="D484" s="79"/>
    </row>
    <row r="485" spans="4:4" x14ac:dyDescent="0.25">
      <c r="D485" s="79"/>
    </row>
    <row r="486" spans="4:4" x14ac:dyDescent="0.25">
      <c r="D486" s="79"/>
    </row>
    <row r="487" spans="4:4" x14ac:dyDescent="0.25">
      <c r="D487" s="79"/>
    </row>
    <row r="488" spans="4:4" x14ac:dyDescent="0.25">
      <c r="D488" s="79"/>
    </row>
    <row r="489" spans="4:4" x14ac:dyDescent="0.25">
      <c r="D489" s="79"/>
    </row>
    <row r="490" spans="4:4" x14ac:dyDescent="0.25">
      <c r="D490" s="79"/>
    </row>
    <row r="491" spans="4:4" x14ac:dyDescent="0.25">
      <c r="D491" s="79"/>
    </row>
    <row r="492" spans="4:4" x14ac:dyDescent="0.25">
      <c r="D492" s="79"/>
    </row>
    <row r="493" spans="4:4" x14ac:dyDescent="0.25">
      <c r="D493" s="79"/>
    </row>
    <row r="494" spans="4:4" x14ac:dyDescent="0.25">
      <c r="D494" s="79"/>
    </row>
    <row r="495" spans="4:4" x14ac:dyDescent="0.25">
      <c r="D495" s="79"/>
    </row>
    <row r="496" spans="4:4" x14ac:dyDescent="0.25">
      <c r="D496" s="79"/>
    </row>
    <row r="497" spans="4:4" x14ac:dyDescent="0.25">
      <c r="D497" s="79"/>
    </row>
    <row r="498" spans="4:4" x14ac:dyDescent="0.25">
      <c r="D498" s="79"/>
    </row>
    <row r="499" spans="4:4" x14ac:dyDescent="0.25">
      <c r="D499" s="79"/>
    </row>
    <row r="500" spans="4:4" x14ac:dyDescent="0.25">
      <c r="D500" s="79"/>
    </row>
    <row r="501" spans="4:4" x14ac:dyDescent="0.25">
      <c r="D501" s="79"/>
    </row>
    <row r="502" spans="4:4" x14ac:dyDescent="0.25">
      <c r="D502" s="79"/>
    </row>
    <row r="503" spans="4:4" x14ac:dyDescent="0.25">
      <c r="D503" s="79"/>
    </row>
    <row r="504" spans="4:4" x14ac:dyDescent="0.25">
      <c r="D504" s="79"/>
    </row>
    <row r="505" spans="4:4" x14ac:dyDescent="0.25">
      <c r="D505" s="79"/>
    </row>
    <row r="506" spans="4:4" x14ac:dyDescent="0.25">
      <c r="D506" s="79"/>
    </row>
    <row r="507" spans="4:4" x14ac:dyDescent="0.25">
      <c r="D507" s="79"/>
    </row>
    <row r="508" spans="4:4" x14ac:dyDescent="0.25">
      <c r="D508" s="79"/>
    </row>
    <row r="509" spans="4:4" x14ac:dyDescent="0.25">
      <c r="D509" s="79"/>
    </row>
    <row r="510" spans="4:4" x14ac:dyDescent="0.25">
      <c r="D510" s="79"/>
    </row>
    <row r="511" spans="4:4" x14ac:dyDescent="0.25">
      <c r="D511" s="79"/>
    </row>
    <row r="512" spans="4:4" x14ac:dyDescent="0.25">
      <c r="D512" s="79"/>
    </row>
    <row r="513" spans="4:4" x14ac:dyDescent="0.25">
      <c r="D513" s="79"/>
    </row>
    <row r="514" spans="4:4" x14ac:dyDescent="0.25">
      <c r="D514" s="79"/>
    </row>
    <row r="515" spans="4:4" x14ac:dyDescent="0.25">
      <c r="D515" s="79"/>
    </row>
    <row r="516" spans="4:4" x14ac:dyDescent="0.25">
      <c r="D516" s="79"/>
    </row>
    <row r="517" spans="4:4" x14ac:dyDescent="0.25">
      <c r="D517" s="79"/>
    </row>
    <row r="518" spans="4:4" x14ac:dyDescent="0.25">
      <c r="D518" s="79"/>
    </row>
    <row r="519" spans="4:4" x14ac:dyDescent="0.25">
      <c r="D519" s="79"/>
    </row>
    <row r="520" spans="4:4" x14ac:dyDescent="0.25">
      <c r="D520" s="79"/>
    </row>
    <row r="521" spans="4:4" x14ac:dyDescent="0.25">
      <c r="D521" s="79"/>
    </row>
    <row r="522" spans="4:4" x14ac:dyDescent="0.25">
      <c r="D522" s="79"/>
    </row>
    <row r="523" spans="4:4" x14ac:dyDescent="0.25">
      <c r="D523" s="79"/>
    </row>
    <row r="524" spans="4:4" x14ac:dyDescent="0.25">
      <c r="D524" s="79"/>
    </row>
    <row r="525" spans="4:4" x14ac:dyDescent="0.25">
      <c r="D525" s="79"/>
    </row>
    <row r="526" spans="4:4" x14ac:dyDescent="0.25">
      <c r="D526" s="79"/>
    </row>
    <row r="527" spans="4:4" x14ac:dyDescent="0.25">
      <c r="D527" s="79"/>
    </row>
    <row r="528" spans="4:4" x14ac:dyDescent="0.25">
      <c r="D528" s="79"/>
    </row>
    <row r="529" spans="4:4" x14ac:dyDescent="0.25">
      <c r="D529" s="79"/>
    </row>
    <row r="530" spans="4:4" x14ac:dyDescent="0.25">
      <c r="D530" s="79"/>
    </row>
    <row r="531" spans="4:4" x14ac:dyDescent="0.25">
      <c r="D531" s="79"/>
    </row>
    <row r="532" spans="4:4" x14ac:dyDescent="0.25">
      <c r="D532" s="79"/>
    </row>
    <row r="533" spans="4:4" x14ac:dyDescent="0.25">
      <c r="D533" s="79"/>
    </row>
    <row r="534" spans="4:4" x14ac:dyDescent="0.25">
      <c r="D534" s="79"/>
    </row>
    <row r="535" spans="4:4" x14ac:dyDescent="0.25">
      <c r="D535" s="79"/>
    </row>
    <row r="536" spans="4:4" x14ac:dyDescent="0.25">
      <c r="D536" s="79"/>
    </row>
    <row r="537" spans="4:4" x14ac:dyDescent="0.25">
      <c r="D537" s="79"/>
    </row>
    <row r="538" spans="4:4" x14ac:dyDescent="0.25">
      <c r="D538" s="79"/>
    </row>
    <row r="539" spans="4:4" x14ac:dyDescent="0.25">
      <c r="D539" s="79"/>
    </row>
    <row r="540" spans="4:4" x14ac:dyDescent="0.25">
      <c r="D540" s="79"/>
    </row>
    <row r="541" spans="4:4" x14ac:dyDescent="0.25">
      <c r="D541" s="79"/>
    </row>
    <row r="542" spans="4:4" x14ac:dyDescent="0.25">
      <c r="D542" s="79"/>
    </row>
    <row r="543" spans="4:4" x14ac:dyDescent="0.25">
      <c r="D543" s="79"/>
    </row>
    <row r="544" spans="4:4" x14ac:dyDescent="0.25">
      <c r="D544" s="79"/>
    </row>
    <row r="545" spans="4:4" x14ac:dyDescent="0.25">
      <c r="D545" s="79"/>
    </row>
    <row r="546" spans="4:4" x14ac:dyDescent="0.25">
      <c r="D546" s="79"/>
    </row>
    <row r="547" spans="4:4" x14ac:dyDescent="0.25">
      <c r="D547" s="79"/>
    </row>
    <row r="548" spans="4:4" x14ac:dyDescent="0.25">
      <c r="D548" s="79"/>
    </row>
    <row r="549" spans="4:4" x14ac:dyDescent="0.25">
      <c r="D549" s="79"/>
    </row>
    <row r="550" spans="4:4" x14ac:dyDescent="0.25">
      <c r="D550" s="79"/>
    </row>
    <row r="551" spans="4:4" x14ac:dyDescent="0.25">
      <c r="D551" s="79"/>
    </row>
    <row r="552" spans="4:4" x14ac:dyDescent="0.25">
      <c r="D552" s="79"/>
    </row>
    <row r="553" spans="4:4" x14ac:dyDescent="0.25">
      <c r="D553" s="79"/>
    </row>
    <row r="554" spans="4:4" x14ac:dyDescent="0.25">
      <c r="D554" s="79"/>
    </row>
    <row r="555" spans="4:4" x14ac:dyDescent="0.25">
      <c r="D555" s="79"/>
    </row>
    <row r="556" spans="4:4" x14ac:dyDescent="0.25">
      <c r="D556" s="79"/>
    </row>
    <row r="557" spans="4:4" x14ac:dyDescent="0.25">
      <c r="D557" s="79"/>
    </row>
    <row r="558" spans="4:4" x14ac:dyDescent="0.25">
      <c r="D558" s="79"/>
    </row>
    <row r="559" spans="4:4" x14ac:dyDescent="0.25">
      <c r="D559" s="79"/>
    </row>
    <row r="560" spans="4:4" x14ac:dyDescent="0.25">
      <c r="D560" s="79"/>
    </row>
    <row r="561" spans="4:4" x14ac:dyDescent="0.25">
      <c r="D561" s="79"/>
    </row>
    <row r="562" spans="4:4" x14ac:dyDescent="0.25">
      <c r="D562" s="79"/>
    </row>
    <row r="563" spans="4:4" x14ac:dyDescent="0.25">
      <c r="D563" s="79"/>
    </row>
    <row r="564" spans="4:4" x14ac:dyDescent="0.25">
      <c r="D564" s="79"/>
    </row>
    <row r="565" spans="4:4" x14ac:dyDescent="0.25">
      <c r="D565" s="79"/>
    </row>
    <row r="566" spans="4:4" x14ac:dyDescent="0.25">
      <c r="D566" s="79"/>
    </row>
    <row r="567" spans="4:4" x14ac:dyDescent="0.25">
      <c r="D567" s="79"/>
    </row>
    <row r="568" spans="4:4" x14ac:dyDescent="0.25">
      <c r="D568" s="79"/>
    </row>
    <row r="569" spans="4:4" x14ac:dyDescent="0.25">
      <c r="D569" s="79"/>
    </row>
    <row r="570" spans="4:4" x14ac:dyDescent="0.25">
      <c r="D570" s="79"/>
    </row>
    <row r="571" spans="4:4" x14ac:dyDescent="0.25">
      <c r="D571" s="79"/>
    </row>
    <row r="572" spans="4:4" x14ac:dyDescent="0.25">
      <c r="D572" s="79"/>
    </row>
    <row r="573" spans="4:4" x14ac:dyDescent="0.25">
      <c r="D573" s="79"/>
    </row>
    <row r="574" spans="4:4" x14ac:dyDescent="0.25">
      <c r="D574" s="79"/>
    </row>
    <row r="575" spans="4:4" x14ac:dyDescent="0.25">
      <c r="D575" s="79"/>
    </row>
    <row r="576" spans="4:4" x14ac:dyDescent="0.25">
      <c r="D576" s="79"/>
    </row>
    <row r="577" spans="4:4" x14ac:dyDescent="0.25">
      <c r="D577" s="79"/>
    </row>
    <row r="578" spans="4:4" x14ac:dyDescent="0.25">
      <c r="D578" s="79"/>
    </row>
    <row r="579" spans="4:4" x14ac:dyDescent="0.25">
      <c r="D579" s="79"/>
    </row>
    <row r="580" spans="4:4" x14ac:dyDescent="0.25">
      <c r="D580" s="79"/>
    </row>
    <row r="581" spans="4:4" x14ac:dyDescent="0.25">
      <c r="D581" s="79"/>
    </row>
    <row r="582" spans="4:4" x14ac:dyDescent="0.25">
      <c r="D582" s="79"/>
    </row>
    <row r="583" spans="4:4" x14ac:dyDescent="0.25">
      <c r="D583" s="79"/>
    </row>
    <row r="584" spans="4:4" x14ac:dyDescent="0.25">
      <c r="D584" s="79"/>
    </row>
    <row r="585" spans="4:4" x14ac:dyDescent="0.25">
      <c r="D585" s="79"/>
    </row>
    <row r="586" spans="4:4" x14ac:dyDescent="0.25">
      <c r="D586" s="79"/>
    </row>
    <row r="587" spans="4:4" x14ac:dyDescent="0.25">
      <c r="D587" s="79"/>
    </row>
    <row r="588" spans="4:4" x14ac:dyDescent="0.25">
      <c r="D588" s="79"/>
    </row>
    <row r="589" spans="4:4" x14ac:dyDescent="0.25">
      <c r="D589" s="79"/>
    </row>
    <row r="590" spans="4:4" x14ac:dyDescent="0.25">
      <c r="D590" s="79"/>
    </row>
    <row r="591" spans="4:4" x14ac:dyDescent="0.25">
      <c r="D591" s="79"/>
    </row>
    <row r="592" spans="4:4" x14ac:dyDescent="0.25">
      <c r="D592" s="79"/>
    </row>
    <row r="593" spans="4:4" x14ac:dyDescent="0.25">
      <c r="D593" s="79"/>
    </row>
    <row r="594" spans="4:4" x14ac:dyDescent="0.25">
      <c r="D594" s="79"/>
    </row>
    <row r="595" spans="4:4" x14ac:dyDescent="0.25">
      <c r="D595" s="79"/>
    </row>
    <row r="596" spans="4:4" x14ac:dyDescent="0.25">
      <c r="D596" s="79"/>
    </row>
    <row r="597" spans="4:4" x14ac:dyDescent="0.25">
      <c r="D597" s="79"/>
    </row>
    <row r="598" spans="4:4" x14ac:dyDescent="0.25">
      <c r="D598" s="79"/>
    </row>
    <row r="599" spans="4:4" x14ac:dyDescent="0.25">
      <c r="D599" s="79"/>
    </row>
    <row r="600" spans="4:4" x14ac:dyDescent="0.25">
      <c r="D600" s="79"/>
    </row>
    <row r="601" spans="4:4" x14ac:dyDescent="0.25">
      <c r="D601" s="79"/>
    </row>
    <row r="602" spans="4:4" x14ac:dyDescent="0.25">
      <c r="D602" s="79"/>
    </row>
    <row r="603" spans="4:4" x14ac:dyDescent="0.25">
      <c r="D603" s="79"/>
    </row>
    <row r="604" spans="4:4" x14ac:dyDescent="0.25">
      <c r="D604" s="79"/>
    </row>
    <row r="605" spans="4:4" x14ac:dyDescent="0.25">
      <c r="D605" s="79"/>
    </row>
    <row r="606" spans="4:4" x14ac:dyDescent="0.25">
      <c r="D606" s="79"/>
    </row>
    <row r="607" spans="4:4" x14ac:dyDescent="0.25">
      <c r="D607" s="79"/>
    </row>
    <row r="608" spans="4:4" x14ac:dyDescent="0.25">
      <c r="D608" s="79"/>
    </row>
    <row r="609" spans="4:4" x14ac:dyDescent="0.25">
      <c r="D609" s="79"/>
    </row>
    <row r="610" spans="4:4" x14ac:dyDescent="0.25">
      <c r="D610" s="79"/>
    </row>
    <row r="611" spans="4:4" x14ac:dyDescent="0.25">
      <c r="D611" s="79"/>
    </row>
    <row r="612" spans="4:4" x14ac:dyDescent="0.25">
      <c r="D612" s="79"/>
    </row>
    <row r="613" spans="4:4" x14ac:dyDescent="0.25">
      <c r="D613" s="79"/>
    </row>
    <row r="614" spans="4:4" x14ac:dyDescent="0.25">
      <c r="D614" s="79"/>
    </row>
    <row r="615" spans="4:4" x14ac:dyDescent="0.25">
      <c r="D615" s="79"/>
    </row>
    <row r="616" spans="4:4" x14ac:dyDescent="0.25">
      <c r="D616" s="79"/>
    </row>
    <row r="617" spans="4:4" x14ac:dyDescent="0.25">
      <c r="D617" s="79"/>
    </row>
    <row r="618" spans="4:4" x14ac:dyDescent="0.25">
      <c r="D618" s="79"/>
    </row>
    <row r="619" spans="4:4" x14ac:dyDescent="0.25">
      <c r="D619" s="79"/>
    </row>
    <row r="620" spans="4:4" x14ac:dyDescent="0.25">
      <c r="D620" s="79"/>
    </row>
    <row r="621" spans="4:4" x14ac:dyDescent="0.25">
      <c r="D621" s="79"/>
    </row>
    <row r="622" spans="4:4" x14ac:dyDescent="0.25">
      <c r="D622" s="79"/>
    </row>
    <row r="623" spans="4:4" x14ac:dyDescent="0.25">
      <c r="D623" s="79"/>
    </row>
    <row r="624" spans="4:4" x14ac:dyDescent="0.25">
      <c r="D624" s="79"/>
    </row>
    <row r="625" spans="4:4" x14ac:dyDescent="0.25">
      <c r="D625" s="79"/>
    </row>
    <row r="626" spans="4:4" x14ac:dyDescent="0.25">
      <c r="D626" s="79"/>
    </row>
    <row r="627" spans="4:4" x14ac:dyDescent="0.25">
      <c r="D627" s="79"/>
    </row>
    <row r="628" spans="4:4" x14ac:dyDescent="0.25">
      <c r="D628" s="79"/>
    </row>
    <row r="629" spans="4:4" x14ac:dyDescent="0.25">
      <c r="D629" s="79"/>
    </row>
    <row r="630" spans="4:4" x14ac:dyDescent="0.25">
      <c r="D630" s="79"/>
    </row>
    <row r="631" spans="4:4" x14ac:dyDescent="0.25">
      <c r="D631" s="79"/>
    </row>
    <row r="632" spans="4:4" x14ac:dyDescent="0.25">
      <c r="D632" s="79"/>
    </row>
    <row r="633" spans="4:4" x14ac:dyDescent="0.25">
      <c r="D633" s="79"/>
    </row>
    <row r="634" spans="4:4" x14ac:dyDescent="0.25">
      <c r="D634" s="79"/>
    </row>
    <row r="635" spans="4:4" x14ac:dyDescent="0.25">
      <c r="D635" s="79"/>
    </row>
    <row r="636" spans="4:4" x14ac:dyDescent="0.25">
      <c r="D636" s="79"/>
    </row>
    <row r="637" spans="4:4" x14ac:dyDescent="0.25">
      <c r="D637" s="79"/>
    </row>
    <row r="638" spans="4:4" x14ac:dyDescent="0.25">
      <c r="D638" s="79"/>
    </row>
    <row r="639" spans="4:4" x14ac:dyDescent="0.25">
      <c r="D639" s="79"/>
    </row>
    <row r="640" spans="4:4" x14ac:dyDescent="0.25">
      <c r="D640" s="79"/>
    </row>
    <row r="641" spans="4:4" x14ac:dyDescent="0.25">
      <c r="D641" s="79"/>
    </row>
    <row r="642" spans="4:4" x14ac:dyDescent="0.25">
      <c r="D642" s="79"/>
    </row>
    <row r="643" spans="4:4" x14ac:dyDescent="0.25">
      <c r="D643" s="79"/>
    </row>
    <row r="644" spans="4:4" x14ac:dyDescent="0.25">
      <c r="D644" s="79"/>
    </row>
    <row r="645" spans="4:4" x14ac:dyDescent="0.25">
      <c r="D645" s="79"/>
    </row>
    <row r="646" spans="4:4" x14ac:dyDescent="0.25">
      <c r="D646" s="79"/>
    </row>
    <row r="647" spans="4:4" x14ac:dyDescent="0.25">
      <c r="D647" s="79"/>
    </row>
    <row r="648" spans="4:4" x14ac:dyDescent="0.25">
      <c r="D648" s="79"/>
    </row>
    <row r="649" spans="4:4" x14ac:dyDescent="0.25">
      <c r="D649" s="79"/>
    </row>
    <row r="650" spans="4:4" x14ac:dyDescent="0.25">
      <c r="D650" s="79"/>
    </row>
    <row r="651" spans="4:4" x14ac:dyDescent="0.25">
      <c r="D651" s="79"/>
    </row>
    <row r="652" spans="4:4" x14ac:dyDescent="0.25">
      <c r="D652" s="79"/>
    </row>
    <row r="653" spans="4:4" x14ac:dyDescent="0.25">
      <c r="D653" s="79"/>
    </row>
    <row r="654" spans="4:4" x14ac:dyDescent="0.25">
      <c r="D654" s="79"/>
    </row>
    <row r="655" spans="4:4" x14ac:dyDescent="0.25">
      <c r="D655" s="79"/>
    </row>
    <row r="656" spans="4:4" x14ac:dyDescent="0.25">
      <c r="D656" s="79"/>
    </row>
    <row r="657" spans="4:4" x14ac:dyDescent="0.25">
      <c r="D657" s="79"/>
    </row>
    <row r="658" spans="4:4" x14ac:dyDescent="0.25">
      <c r="D658" s="79"/>
    </row>
    <row r="659" spans="4:4" x14ac:dyDescent="0.25">
      <c r="D659" s="79"/>
    </row>
    <row r="660" spans="4:4" x14ac:dyDescent="0.25">
      <c r="D660" s="79"/>
    </row>
    <row r="661" spans="4:4" x14ac:dyDescent="0.25">
      <c r="D661" s="79"/>
    </row>
    <row r="662" spans="4:4" x14ac:dyDescent="0.25">
      <c r="D662" s="79"/>
    </row>
    <row r="663" spans="4:4" x14ac:dyDescent="0.25">
      <c r="D663" s="79"/>
    </row>
    <row r="664" spans="4:4" x14ac:dyDescent="0.25">
      <c r="D664" s="79"/>
    </row>
    <row r="665" spans="4:4" x14ac:dyDescent="0.25">
      <c r="D665" s="79"/>
    </row>
    <row r="666" spans="4:4" x14ac:dyDescent="0.25">
      <c r="D666" s="79"/>
    </row>
    <row r="667" spans="4:4" x14ac:dyDescent="0.25">
      <c r="D667" s="79"/>
    </row>
    <row r="668" spans="4:4" x14ac:dyDescent="0.25">
      <c r="D668" s="79"/>
    </row>
    <row r="669" spans="4:4" x14ac:dyDescent="0.25">
      <c r="D669" s="79"/>
    </row>
    <row r="670" spans="4:4" x14ac:dyDescent="0.25">
      <c r="D670" s="79"/>
    </row>
    <row r="671" spans="4:4" x14ac:dyDescent="0.25">
      <c r="D671" s="79"/>
    </row>
    <row r="672" spans="4:4" x14ac:dyDescent="0.25">
      <c r="D672" s="79"/>
    </row>
    <row r="673" spans="4:4" x14ac:dyDescent="0.25">
      <c r="D673" s="79"/>
    </row>
    <row r="674" spans="4:4" x14ac:dyDescent="0.25">
      <c r="D674" s="79"/>
    </row>
    <row r="675" spans="4:4" x14ac:dyDescent="0.25">
      <c r="D675" s="79"/>
    </row>
    <row r="676" spans="4:4" x14ac:dyDescent="0.25">
      <c r="D676" s="79"/>
    </row>
    <row r="677" spans="4:4" x14ac:dyDescent="0.25">
      <c r="D677" s="79"/>
    </row>
    <row r="678" spans="4:4" x14ac:dyDescent="0.25">
      <c r="D678" s="79"/>
    </row>
    <row r="679" spans="4:4" x14ac:dyDescent="0.25">
      <c r="D679" s="79"/>
    </row>
    <row r="680" spans="4:4" x14ac:dyDescent="0.25">
      <c r="D680" s="79"/>
    </row>
    <row r="681" spans="4:4" x14ac:dyDescent="0.25">
      <c r="D681" s="79"/>
    </row>
    <row r="682" spans="4:4" x14ac:dyDescent="0.25">
      <c r="D682" s="79"/>
    </row>
    <row r="683" spans="4:4" x14ac:dyDescent="0.25">
      <c r="D683" s="79"/>
    </row>
    <row r="684" spans="4:4" x14ac:dyDescent="0.25">
      <c r="D684" s="79"/>
    </row>
    <row r="685" spans="4:4" x14ac:dyDescent="0.25">
      <c r="D685" s="79"/>
    </row>
    <row r="686" spans="4:4" x14ac:dyDescent="0.25">
      <c r="D686" s="79"/>
    </row>
    <row r="687" spans="4:4" x14ac:dyDescent="0.25">
      <c r="D687" s="79"/>
    </row>
    <row r="688" spans="4:4" x14ac:dyDescent="0.25">
      <c r="D688" s="79"/>
    </row>
    <row r="689" spans="4:4" x14ac:dyDescent="0.25">
      <c r="D689" s="79"/>
    </row>
    <row r="690" spans="4:4" x14ac:dyDescent="0.25">
      <c r="D690" s="79"/>
    </row>
    <row r="691" spans="4:4" x14ac:dyDescent="0.25">
      <c r="D691" s="79"/>
    </row>
    <row r="692" spans="4:4" x14ac:dyDescent="0.25">
      <c r="D692" s="79"/>
    </row>
    <row r="693" spans="4:4" x14ac:dyDescent="0.25">
      <c r="D693" s="79"/>
    </row>
    <row r="694" spans="4:4" x14ac:dyDescent="0.25">
      <c r="D694" s="79"/>
    </row>
    <row r="695" spans="4:4" x14ac:dyDescent="0.25">
      <c r="D695" s="79"/>
    </row>
    <row r="696" spans="4:4" x14ac:dyDescent="0.25">
      <c r="D696" s="79"/>
    </row>
    <row r="697" spans="4:4" x14ac:dyDescent="0.25">
      <c r="D697" s="79"/>
    </row>
    <row r="698" spans="4:4" x14ac:dyDescent="0.25">
      <c r="D698" s="79"/>
    </row>
    <row r="699" spans="4:4" x14ac:dyDescent="0.25">
      <c r="D699" s="79"/>
    </row>
    <row r="700" spans="4:4" x14ac:dyDescent="0.25">
      <c r="D700" s="79"/>
    </row>
    <row r="701" spans="4:4" x14ac:dyDescent="0.25">
      <c r="D701" s="79"/>
    </row>
    <row r="702" spans="4:4" x14ac:dyDescent="0.25">
      <c r="D702" s="79"/>
    </row>
    <row r="703" spans="4:4" x14ac:dyDescent="0.25">
      <c r="D703" s="79"/>
    </row>
    <row r="704" spans="4:4" x14ac:dyDescent="0.25">
      <c r="D704" s="79"/>
    </row>
    <row r="705" spans="4:4" x14ac:dyDescent="0.25">
      <c r="D705" s="79"/>
    </row>
    <row r="706" spans="4:4" x14ac:dyDescent="0.25">
      <c r="D706" s="79"/>
    </row>
    <row r="707" spans="4:4" x14ac:dyDescent="0.25">
      <c r="D707" s="79"/>
    </row>
    <row r="708" spans="4:4" x14ac:dyDescent="0.25">
      <c r="D708" s="79"/>
    </row>
    <row r="709" spans="4:4" x14ac:dyDescent="0.25">
      <c r="D709" s="79"/>
    </row>
    <row r="710" spans="4:4" x14ac:dyDescent="0.25">
      <c r="D710" s="79"/>
    </row>
    <row r="711" spans="4:4" x14ac:dyDescent="0.25">
      <c r="D711" s="79"/>
    </row>
    <row r="712" spans="4:4" x14ac:dyDescent="0.25">
      <c r="D712" s="79"/>
    </row>
    <row r="713" spans="4:4" x14ac:dyDescent="0.25">
      <c r="D713" s="79"/>
    </row>
    <row r="714" spans="4:4" x14ac:dyDescent="0.25">
      <c r="D714" s="79"/>
    </row>
    <row r="715" spans="4:4" x14ac:dyDescent="0.25">
      <c r="D715" s="79"/>
    </row>
    <row r="716" spans="4:4" x14ac:dyDescent="0.25">
      <c r="D716" s="79"/>
    </row>
    <row r="717" spans="4:4" x14ac:dyDescent="0.25">
      <c r="D717" s="79"/>
    </row>
    <row r="718" spans="4:4" x14ac:dyDescent="0.25">
      <c r="D718" s="79"/>
    </row>
    <row r="719" spans="4:4" x14ac:dyDescent="0.25">
      <c r="D719" s="79"/>
    </row>
    <row r="720" spans="4:4" x14ac:dyDescent="0.25">
      <c r="D720" s="79"/>
    </row>
    <row r="721" spans="4:4" x14ac:dyDescent="0.25">
      <c r="D721" s="79"/>
    </row>
    <row r="722" spans="4:4" x14ac:dyDescent="0.25">
      <c r="D722" s="79"/>
    </row>
    <row r="723" spans="4:4" x14ac:dyDescent="0.25">
      <c r="D723" s="79"/>
    </row>
    <row r="724" spans="4:4" x14ac:dyDescent="0.25">
      <c r="D724" s="79"/>
    </row>
    <row r="725" spans="4:4" x14ac:dyDescent="0.25">
      <c r="D725" s="79"/>
    </row>
    <row r="726" spans="4:4" x14ac:dyDescent="0.25">
      <c r="D726" s="79"/>
    </row>
    <row r="727" spans="4:4" x14ac:dyDescent="0.25">
      <c r="D727" s="79"/>
    </row>
    <row r="728" spans="4:4" x14ac:dyDescent="0.25">
      <c r="D728" s="79"/>
    </row>
    <row r="729" spans="4:4" x14ac:dyDescent="0.25">
      <c r="D729" s="79"/>
    </row>
    <row r="730" spans="4:4" x14ac:dyDescent="0.25">
      <c r="D730" s="79"/>
    </row>
    <row r="731" spans="4:4" x14ac:dyDescent="0.25">
      <c r="D731" s="79"/>
    </row>
    <row r="732" spans="4:4" x14ac:dyDescent="0.25">
      <c r="D732" s="79"/>
    </row>
    <row r="733" spans="4:4" x14ac:dyDescent="0.25">
      <c r="D733" s="79"/>
    </row>
    <row r="734" spans="4:4" x14ac:dyDescent="0.25">
      <c r="D734" s="79"/>
    </row>
    <row r="735" spans="4:4" x14ac:dyDescent="0.25">
      <c r="D735" s="79"/>
    </row>
    <row r="736" spans="4:4" x14ac:dyDescent="0.25">
      <c r="D736" s="79"/>
    </row>
    <row r="737" spans="4:4" x14ac:dyDescent="0.25">
      <c r="D737" s="79"/>
    </row>
    <row r="738" spans="4:4" x14ac:dyDescent="0.25">
      <c r="D738" s="79"/>
    </row>
    <row r="739" spans="4:4" x14ac:dyDescent="0.25">
      <c r="D739" s="79"/>
    </row>
    <row r="740" spans="4:4" x14ac:dyDescent="0.25">
      <c r="D740" s="79"/>
    </row>
    <row r="741" spans="4:4" x14ac:dyDescent="0.25">
      <c r="D741" s="79"/>
    </row>
    <row r="742" spans="4:4" x14ac:dyDescent="0.25">
      <c r="D742" s="79"/>
    </row>
    <row r="743" spans="4:4" x14ac:dyDescent="0.25">
      <c r="D743" s="79"/>
    </row>
    <row r="744" spans="4:4" x14ac:dyDescent="0.25">
      <c r="D744" s="79"/>
    </row>
  </sheetData>
  <sheetProtection formatCells="0" formatColumns="0" formatRows="0"/>
  <conditionalFormatting sqref="G33">
    <cfRule type="cellIs" dxfId="63" priority="93" stopIfTrue="1" operator="notEqual">
      <formula>0</formula>
    </cfRule>
  </conditionalFormatting>
  <conditionalFormatting sqref="G34">
    <cfRule type="cellIs" dxfId="62" priority="92" stopIfTrue="1" operator="notEqual">
      <formula>0</formula>
    </cfRule>
  </conditionalFormatting>
  <conditionalFormatting sqref="G65">
    <cfRule type="cellIs" dxfId="61" priority="91" stopIfTrue="1" operator="notEqual">
      <formula>0</formula>
    </cfRule>
  </conditionalFormatting>
  <conditionalFormatting sqref="G79">
    <cfRule type="cellIs" dxfId="60" priority="90" stopIfTrue="1" operator="notEqual">
      <formula>0</formula>
    </cfRule>
  </conditionalFormatting>
  <conditionalFormatting sqref="G80:G90">
    <cfRule type="cellIs" dxfId="59" priority="89" stopIfTrue="1" operator="notEqual">
      <formula>0</formula>
    </cfRule>
  </conditionalFormatting>
  <conditionalFormatting sqref="G133">
    <cfRule type="cellIs" dxfId="58" priority="88" stopIfTrue="1" operator="notEqual">
      <formula>0</formula>
    </cfRule>
  </conditionalFormatting>
  <conditionalFormatting sqref="G151">
    <cfRule type="cellIs" dxfId="57" priority="87" stopIfTrue="1" operator="notEqual">
      <formula>0</formula>
    </cfRule>
  </conditionalFormatting>
  <conditionalFormatting sqref="G163">
    <cfRule type="cellIs" dxfId="56" priority="86" stopIfTrue="1" operator="notEqual">
      <formula>0</formula>
    </cfRule>
  </conditionalFormatting>
  <conditionalFormatting sqref="G164">
    <cfRule type="cellIs" dxfId="55" priority="85" stopIfTrue="1" operator="notEqual">
      <formula>0</formula>
    </cfRule>
  </conditionalFormatting>
  <conditionalFormatting sqref="G178">
    <cfRule type="cellIs" dxfId="54" priority="84" stopIfTrue="1" operator="notEqual">
      <formula>0</formula>
    </cfRule>
  </conditionalFormatting>
  <conditionalFormatting sqref="G179">
    <cfRule type="cellIs" dxfId="53" priority="83" stopIfTrue="1" operator="notEqual">
      <formula>0</formula>
    </cfRule>
  </conditionalFormatting>
  <conditionalFormatting sqref="H237:H239">
    <cfRule type="cellIs" priority="79" stopIfTrue="1" operator="equal">
      <formula>";;;"</formula>
    </cfRule>
  </conditionalFormatting>
  <conditionalFormatting sqref="H237">
    <cfRule type="cellIs" dxfId="52" priority="78" stopIfTrue="1" operator="equal">
      <formula>0</formula>
    </cfRule>
  </conditionalFormatting>
  <conditionalFormatting sqref="H238">
    <cfRule type="cellIs" dxfId="51" priority="77" stopIfTrue="1" operator="equal">
      <formula>0</formula>
    </cfRule>
  </conditionalFormatting>
  <conditionalFormatting sqref="H239">
    <cfRule type="cellIs" dxfId="50" priority="76" stopIfTrue="1" operator="equal">
      <formula>0</formula>
    </cfRule>
  </conditionalFormatting>
  <conditionalFormatting sqref="H239">
    <cfRule type="cellIs" dxfId="49" priority="75" stopIfTrue="1" operator="equal">
      <formula>0</formula>
    </cfRule>
  </conditionalFormatting>
  <conditionalFormatting sqref="H237">
    <cfRule type="cellIs" dxfId="48" priority="74" stopIfTrue="1" operator="equal">
      <formula>0</formula>
    </cfRule>
  </conditionalFormatting>
  <conditionalFormatting sqref="G21">
    <cfRule type="cellIs" dxfId="47" priority="73" stopIfTrue="1" operator="notEqual">
      <formula>0</formula>
    </cfRule>
  </conditionalFormatting>
  <conditionalFormatting sqref="G7">
    <cfRule type="containsText" dxfId="46" priority="71" stopIfTrue="1" operator="containsText" text="Included in error count">
      <formula>NOT(ISERROR(SEARCH("Included in error count",G7)))</formula>
    </cfRule>
    <cfRule type="cellIs" dxfId="45" priority="72" stopIfTrue="1" operator="equal">
      <formula>1</formula>
    </cfRule>
  </conditionalFormatting>
  <conditionalFormatting sqref="G55">
    <cfRule type="containsText" dxfId="44" priority="69" stopIfTrue="1" operator="containsText" text="Included in error count">
      <formula>NOT(ISERROR(SEARCH("Included in error count",G55)))</formula>
    </cfRule>
    <cfRule type="cellIs" dxfId="43" priority="70" stopIfTrue="1" operator="equal">
      <formula>1</formula>
    </cfRule>
  </conditionalFormatting>
  <conditionalFormatting sqref="G120:G121">
    <cfRule type="containsText" dxfId="42" priority="67" stopIfTrue="1" operator="containsText" text="Included in error count">
      <formula>NOT(ISERROR(SEARCH("Included in error count",G120)))</formula>
    </cfRule>
    <cfRule type="cellIs" dxfId="41" priority="68" stopIfTrue="1" operator="equal">
      <formula>1</formula>
    </cfRule>
  </conditionalFormatting>
  <conditionalFormatting sqref="G122">
    <cfRule type="containsText" dxfId="40" priority="65" stopIfTrue="1" operator="containsText" text="Included in error count">
      <formula>NOT(ISERROR(SEARCH("Included in error count",G122)))</formula>
    </cfRule>
    <cfRule type="cellIs" dxfId="39" priority="66" stopIfTrue="1" operator="equal">
      <formula>1</formula>
    </cfRule>
  </conditionalFormatting>
  <conditionalFormatting sqref="G131">
    <cfRule type="containsText" dxfId="38" priority="61" stopIfTrue="1" operator="containsText" text="Included in error count">
      <formula>NOT(ISERROR(SEARCH("Included in error count",G131)))</formula>
    </cfRule>
    <cfRule type="cellIs" dxfId="37" priority="62" stopIfTrue="1" operator="equal">
      <formula>1</formula>
    </cfRule>
  </conditionalFormatting>
  <conditionalFormatting sqref="G153">
    <cfRule type="containsText" dxfId="36" priority="57" stopIfTrue="1" operator="containsText" text="Included in error count">
      <formula>NOT(ISERROR(SEARCH("Included in error count",G153)))</formula>
    </cfRule>
    <cfRule type="cellIs" dxfId="35" priority="58" stopIfTrue="1" operator="equal">
      <formula>1</formula>
    </cfRule>
  </conditionalFormatting>
  <conditionalFormatting sqref="G237">
    <cfRule type="containsText" dxfId="34" priority="46" stopIfTrue="1" operator="containsText" text="Included in error count">
      <formula>NOT(ISERROR(SEARCH("Included in error count",G237)))</formula>
    </cfRule>
    <cfRule type="cellIs" dxfId="33" priority="47" stopIfTrue="1" operator="equal">
      <formula>1</formula>
    </cfRule>
  </conditionalFormatting>
  <conditionalFormatting sqref="G238">
    <cfRule type="containsText" dxfId="32" priority="44" stopIfTrue="1" operator="containsText" text="Included in error count">
      <formula>NOT(ISERROR(SEARCH("Included in error count",G238)))</formula>
    </cfRule>
    <cfRule type="cellIs" dxfId="31" priority="45" stopIfTrue="1" operator="equal">
      <formula>1</formula>
    </cfRule>
  </conditionalFormatting>
  <conditionalFormatting sqref="G239">
    <cfRule type="containsText" dxfId="30" priority="42" stopIfTrue="1" operator="containsText" text="Included in error count">
      <formula>NOT(ISERROR(SEARCH("Included in error count",G239)))</formula>
    </cfRule>
    <cfRule type="cellIs" dxfId="29" priority="43" stopIfTrue="1" operator="equal">
      <formula>1</formula>
    </cfRule>
  </conditionalFormatting>
  <conditionalFormatting sqref="G168">
    <cfRule type="containsText" dxfId="28" priority="40" stopIfTrue="1" operator="containsText" text="Included in error count">
      <formula>NOT(ISERROR(SEARCH("Included in error count",G168)))</formula>
    </cfRule>
    <cfRule type="cellIs" dxfId="27"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36"/>
  <sheetViews>
    <sheetView showGridLines="0" topLeftCell="A3" zoomScale="60" zoomScaleNormal="60" workbookViewId="0">
      <selection activeCell="H17" sqref="H17"/>
    </sheetView>
  </sheetViews>
  <sheetFormatPr defaultColWidth="9.140625" defaultRowHeight="15" x14ac:dyDescent="0.25"/>
  <cols>
    <col min="1" max="1" width="44.5703125" style="970" customWidth="1"/>
    <col min="2" max="2" width="17.140625" style="970" customWidth="1"/>
    <col min="3" max="3" width="19" style="970" customWidth="1"/>
    <col min="4" max="4" width="19.140625" style="970" customWidth="1"/>
    <col min="5" max="5" width="15.140625" style="970" customWidth="1"/>
    <col min="6" max="6" width="12.85546875" style="970" customWidth="1"/>
    <col min="7" max="7" width="43.85546875" style="1023" hidden="1" customWidth="1"/>
    <col min="8" max="8" width="77.5703125" style="970" customWidth="1"/>
    <col min="9" max="9" width="91" style="971" customWidth="1"/>
    <col min="10" max="10" width="46.140625" style="971" customWidth="1"/>
    <col min="11" max="11" width="9.140625" style="971" customWidth="1"/>
    <col min="12" max="12" width="36.85546875" style="268" hidden="1" customWidth="1"/>
    <col min="13" max="14" width="15.7109375" style="268" hidden="1" customWidth="1"/>
    <col min="15" max="15" width="56.28515625" style="268" customWidth="1"/>
    <col min="16" max="16" width="11.140625" style="969" customWidth="1"/>
    <col min="17" max="18" width="9.140625" style="970" customWidth="1"/>
    <col min="19" max="16384" width="9.140625" style="970"/>
  </cols>
  <sheetData>
    <row r="1" spans="1:81" ht="40.5" customHeight="1" thickBot="1" x14ac:dyDescent="0.3">
      <c r="A1" s="1254" t="s">
        <v>1370</v>
      </c>
      <c r="B1" s="1255"/>
      <c r="C1" s="1255"/>
      <c r="D1" s="1255"/>
      <c r="E1" s="1255"/>
      <c r="F1" s="1255"/>
      <c r="G1" s="1255"/>
      <c r="H1" s="1256"/>
      <c r="I1" s="1276" t="s">
        <v>1394</v>
      </c>
      <c r="J1" s="1277"/>
      <c r="K1" s="1011"/>
    </row>
    <row r="2" spans="1:81" ht="72" customHeight="1" thickBot="1" x14ac:dyDescent="0.3">
      <c r="A2" s="1257" t="s">
        <v>1371</v>
      </c>
      <c r="B2" s="1258"/>
      <c r="C2" s="1258"/>
      <c r="D2" s="1258"/>
      <c r="E2" s="1258"/>
      <c r="F2" s="1258"/>
      <c r="G2" s="1258"/>
      <c r="H2" s="1259"/>
      <c r="I2" s="1278" t="s">
        <v>1393</v>
      </c>
      <c r="J2" s="1282" t="s">
        <v>1102</v>
      </c>
      <c r="K2" s="1034"/>
    </row>
    <row r="3" spans="1:81" ht="15" customHeight="1" x14ac:dyDescent="0.25">
      <c r="A3" s="1178" t="s">
        <v>779</v>
      </c>
      <c r="B3" s="1002"/>
      <c r="C3" s="1002"/>
      <c r="D3" s="1002"/>
      <c r="E3" s="1179"/>
      <c r="F3" s="1179"/>
      <c r="G3" s="1260"/>
      <c r="H3" s="1261"/>
      <c r="I3" s="1279"/>
      <c r="J3" s="1283"/>
      <c r="K3" s="1034"/>
    </row>
    <row r="4" spans="1:81" ht="21.75" customHeight="1" x14ac:dyDescent="0.25">
      <c r="A4" s="972" t="s">
        <v>855</v>
      </c>
      <c r="B4" s="1262" t="str">
        <f>'Unit Data from Audit Worksheet'!D2</f>
        <v>Select Unit Name from Drop Down List</v>
      </c>
      <c r="C4" s="1262"/>
      <c r="D4" s="1262"/>
      <c r="E4" s="1263" t="s">
        <v>1372</v>
      </c>
      <c r="F4" s="1264"/>
      <c r="G4" s="973"/>
      <c r="H4" s="1267" t="s">
        <v>782</v>
      </c>
      <c r="I4" s="1280"/>
      <c r="J4" s="1283"/>
      <c r="K4" s="1035"/>
      <c r="L4" s="974"/>
    </row>
    <row r="5" spans="1:81" ht="21.75" thickBot="1" x14ac:dyDescent="0.3">
      <c r="A5" s="1151" t="s">
        <v>781</v>
      </c>
      <c r="B5" s="1269" t="e">
        <f>'Unit Data from Audit Worksheet'!D3</f>
        <v>#N/A</v>
      </c>
      <c r="C5" s="1269"/>
      <c r="D5" s="1269"/>
      <c r="E5" s="1265"/>
      <c r="F5" s="1266"/>
      <c r="G5" s="1152"/>
      <c r="H5" s="1268"/>
      <c r="I5" s="1281"/>
      <c r="J5" s="1284"/>
      <c r="K5" s="968"/>
      <c r="L5" s="168" t="s">
        <v>820</v>
      </c>
    </row>
    <row r="6" spans="1:81" ht="185.1" hidden="1" customHeight="1" thickBot="1" x14ac:dyDescent="0.3">
      <c r="A6" s="1291"/>
      <c r="B6" s="1292"/>
      <c r="C6" s="1292"/>
      <c r="D6" s="1292"/>
      <c r="E6" s="1292"/>
      <c r="F6" s="1293"/>
      <c r="G6" s="1006"/>
      <c r="H6" s="1297" t="s">
        <v>1373</v>
      </c>
      <c r="I6" s="1026"/>
      <c r="J6" s="1285"/>
      <c r="K6" s="968"/>
      <c r="L6" s="976"/>
    </row>
    <row r="7" spans="1:81" ht="132" hidden="1" customHeight="1" thickBot="1" x14ac:dyDescent="0.3">
      <c r="A7" s="1294"/>
      <c r="B7" s="1295"/>
      <c r="C7" s="1295"/>
      <c r="D7" s="1295"/>
      <c r="E7" s="1295"/>
      <c r="F7" s="1296"/>
      <c r="G7" s="1006"/>
      <c r="H7" s="1298"/>
      <c r="I7" s="977"/>
      <c r="J7" s="1286"/>
      <c r="K7" s="968"/>
      <c r="L7" s="976">
        <f>+(Import!$L$72+Import!$L$77+Import!$L$74-Import!$L$75-Import!$L$76)</f>
        <v>0</v>
      </c>
    </row>
    <row r="8" spans="1:81" ht="27.75" hidden="1" customHeight="1" thickBot="1" x14ac:dyDescent="0.3">
      <c r="A8" s="1300" t="s">
        <v>1374</v>
      </c>
      <c r="B8" s="1300"/>
      <c r="C8" s="1300"/>
      <c r="D8" s="1300"/>
      <c r="E8" s="978" t="s">
        <v>1063</v>
      </c>
      <c r="F8" s="978" t="s">
        <v>1375</v>
      </c>
      <c r="G8" s="979" t="s">
        <v>787</v>
      </c>
      <c r="H8" s="1299"/>
      <c r="I8" s="980"/>
      <c r="J8" s="1287"/>
      <c r="K8" s="968"/>
      <c r="L8" s="975" t="b">
        <f>IF($L$7&gt;10000000,"25%",IF($L$7&gt;999999,"34%",IF($L$7&gt;99999,"71%",IF($L$7&gt;1,"100%"))))</f>
        <v>0</v>
      </c>
      <c r="M8" s="981"/>
      <c r="O8" s="982"/>
      <c r="P8" s="983"/>
    </row>
    <row r="9" spans="1:81" ht="202.5" hidden="1" customHeight="1" thickBot="1" x14ac:dyDescent="0.3">
      <c r="A9" s="1270"/>
      <c r="B9" s="1271"/>
      <c r="C9" s="1271"/>
      <c r="D9" s="1272"/>
      <c r="E9" s="984" t="b">
        <f>IF($L$7&gt;10000000,"25% -- Average of similar units is 46%",IF($L$7&gt;999999,"34% -- Average of similar units is 63%",IF($L$7&gt;99999,"71% -- Average of similar units is 132%",IF($L$7&gt;1,"100 %-- Average of similar units is 260%"))))</f>
        <v>0</v>
      </c>
      <c r="F9" s="985"/>
      <c r="G9" s="986"/>
      <c r="H9" s="1027" t="s">
        <v>1376</v>
      </c>
      <c r="I9" s="1039" t="s">
        <v>1264</v>
      </c>
      <c r="J9" s="1040"/>
      <c r="K9" s="968"/>
      <c r="L9" s="1049" t="e">
        <f>+'PI series #'!L6</f>
        <v>#VALUE!</v>
      </c>
      <c r="M9" s="981"/>
      <c r="O9" s="982"/>
      <c r="P9" s="983"/>
    </row>
    <row r="10" spans="1:81" ht="202.5" hidden="1" customHeight="1" thickBot="1" x14ac:dyDescent="0.3">
      <c r="A10" s="1270"/>
      <c r="B10" s="1271"/>
      <c r="C10" s="1271"/>
      <c r="D10" s="1272"/>
      <c r="E10" s="984" t="str">
        <f>IF($K$5&gt;99999999,"16%--Median of simiar units is 32%","20%--Median of similar units is 39%")</f>
        <v>20%--Median of similar units is 39%</v>
      </c>
      <c r="F10" s="985"/>
      <c r="G10" s="986"/>
      <c r="H10" s="1027" t="s">
        <v>1395</v>
      </c>
      <c r="I10" s="1039" t="s">
        <v>1264</v>
      </c>
      <c r="J10" s="1040"/>
      <c r="K10" s="1050">
        <f>IF($K$5&gt;99999999,16%,20%)</f>
        <v>0.2</v>
      </c>
      <c r="L10" s="1049" t="e">
        <f>+'PI series #'!L8</f>
        <v>#VALUE!</v>
      </c>
      <c r="M10" s="981"/>
      <c r="O10" s="982"/>
      <c r="P10" s="983"/>
    </row>
    <row r="11" spans="1:81" ht="202.5" customHeight="1" thickBot="1" x14ac:dyDescent="0.3">
      <c r="A11" s="1270"/>
      <c r="B11" s="1271"/>
      <c r="C11" s="1271"/>
      <c r="D11" s="1272"/>
      <c r="E11" s="985" t="str">
        <f>IF('PI series #'!D9="","N/A","8.00%")</f>
        <v>N/A</v>
      </c>
      <c r="F11" s="985" t="str">
        <f>IF('PI series #'!D9="","N/A",'PI series #'!D9)</f>
        <v>N/A</v>
      </c>
      <c r="G11" s="986"/>
      <c r="H11" s="1027" t="s">
        <v>1559</v>
      </c>
      <c r="I11" s="1039" t="s">
        <v>1264</v>
      </c>
      <c r="J11" s="1040"/>
      <c r="K11" s="968"/>
      <c r="L11" s="1048" t="str">
        <f>++'PI series #'!D9</f>
        <v/>
      </c>
      <c r="M11" s="981"/>
      <c r="O11" s="982"/>
      <c r="P11" s="983"/>
    </row>
    <row r="12" spans="1:81" ht="15.75" thickBot="1" x14ac:dyDescent="0.3">
      <c r="A12" s="993"/>
      <c r="B12" s="994"/>
      <c r="C12" s="994"/>
      <c r="D12" s="994"/>
      <c r="E12" s="995"/>
      <c r="F12" s="994"/>
      <c r="G12" s="996"/>
      <c r="H12" s="994"/>
      <c r="I12" s="1024"/>
      <c r="J12" s="1024"/>
      <c r="K12" s="1146"/>
      <c r="O12" s="1145"/>
    </row>
    <row r="13" spans="1:81" s="268" customFormat="1" ht="25.5" customHeight="1" thickBot="1" x14ac:dyDescent="0.3">
      <c r="A13" s="1029" t="s">
        <v>1066</v>
      </c>
      <c r="B13" s="1031"/>
      <c r="C13" s="1031"/>
      <c r="D13" s="1031"/>
      <c r="E13" s="1032"/>
      <c r="F13" s="1033"/>
      <c r="G13" s="1030"/>
      <c r="H13" s="987"/>
      <c r="I13" s="1028"/>
      <c r="J13" s="1052"/>
      <c r="K13" s="1148"/>
      <c r="L13" s="991"/>
      <c r="M13" s="991"/>
      <c r="N13" s="991"/>
      <c r="O13" s="1145"/>
      <c r="P13" s="969"/>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c r="AU13" s="970"/>
      <c r="AV13" s="970"/>
      <c r="AW13" s="970"/>
      <c r="AX13" s="970"/>
      <c r="AY13" s="970"/>
      <c r="AZ13" s="970"/>
      <c r="BA13" s="970"/>
      <c r="BB13" s="970"/>
      <c r="BC13" s="970"/>
      <c r="BD13" s="970"/>
      <c r="BE13" s="970"/>
      <c r="BF13" s="970"/>
      <c r="BG13" s="970"/>
      <c r="BH13" s="970"/>
      <c r="BI13" s="970"/>
      <c r="BJ13" s="970"/>
      <c r="BK13" s="970"/>
      <c r="BL13" s="970"/>
      <c r="BM13" s="970"/>
      <c r="BN13" s="970"/>
      <c r="BO13" s="970"/>
      <c r="BP13" s="970"/>
      <c r="BQ13" s="970"/>
      <c r="BR13" s="970"/>
      <c r="BS13" s="970"/>
      <c r="BT13" s="970"/>
      <c r="BU13" s="970"/>
      <c r="BV13" s="970"/>
      <c r="BW13" s="970"/>
      <c r="BX13" s="970"/>
      <c r="BY13" s="970"/>
      <c r="BZ13" s="970"/>
      <c r="CA13" s="970"/>
      <c r="CB13" s="970"/>
      <c r="CC13" s="970"/>
    </row>
    <row r="14" spans="1:81" s="268" customFormat="1" ht="109.5" customHeight="1" thickBot="1" x14ac:dyDescent="0.3">
      <c r="A14" s="1029" t="s">
        <v>460</v>
      </c>
      <c r="B14" s="1031"/>
      <c r="C14" s="1031"/>
      <c r="D14" s="1053" t="str">
        <f>IF('PI series #'!D23="","N/A",'PI series #'!D23)</f>
        <v>N/A</v>
      </c>
      <c r="E14" s="989" t="s">
        <v>783</v>
      </c>
      <c r="F14" s="1054" t="str">
        <f>IF('PI series #'!D23="","N/A",'PI series #'!D23)</f>
        <v>N/A</v>
      </c>
      <c r="G14" s="1030"/>
      <c r="H14" s="1037" t="s">
        <v>1378</v>
      </c>
      <c r="I14" s="1028" t="s">
        <v>1309</v>
      </c>
      <c r="J14" s="1040"/>
      <c r="K14" s="1013"/>
      <c r="L14" s="991"/>
      <c r="M14" s="991"/>
      <c r="N14" s="1051" t="str">
        <f>IFERROR((+Import!L94-Import!L93)/Import!L95,"")</f>
        <v/>
      </c>
      <c r="P14" s="969"/>
      <c r="Q14" s="970"/>
      <c r="R14" s="970"/>
      <c r="S14" s="970"/>
      <c r="T14" s="970"/>
      <c r="U14" s="970"/>
      <c r="V14" s="970"/>
      <c r="W14" s="970"/>
      <c r="X14" s="970"/>
      <c r="Y14" s="970"/>
      <c r="Z14" s="970"/>
      <c r="AA14" s="970"/>
      <c r="AB14" s="970"/>
      <c r="AC14" s="970"/>
      <c r="AD14" s="970"/>
      <c r="AE14" s="970"/>
      <c r="AF14" s="970"/>
      <c r="AG14" s="970"/>
      <c r="AH14" s="970"/>
      <c r="AI14" s="970"/>
      <c r="AJ14" s="970"/>
      <c r="AK14" s="970"/>
      <c r="AL14" s="970"/>
      <c r="AM14" s="970"/>
      <c r="AN14" s="970"/>
      <c r="AO14" s="970"/>
      <c r="AP14" s="970"/>
      <c r="AQ14" s="970"/>
      <c r="AR14" s="970"/>
      <c r="AS14" s="970"/>
      <c r="AT14" s="970"/>
      <c r="AU14" s="970"/>
      <c r="AV14" s="970"/>
      <c r="AW14" s="970"/>
      <c r="AX14" s="970"/>
      <c r="AY14" s="970"/>
      <c r="AZ14" s="970"/>
      <c r="BA14" s="970"/>
      <c r="BB14" s="970"/>
      <c r="BC14" s="970"/>
      <c r="BD14" s="970"/>
      <c r="BE14" s="970"/>
      <c r="BF14" s="970"/>
      <c r="BG14" s="970"/>
      <c r="BH14" s="970"/>
      <c r="BI14" s="970"/>
      <c r="BJ14" s="970"/>
      <c r="BK14" s="970"/>
      <c r="BL14" s="970"/>
      <c r="BM14" s="970"/>
      <c r="BN14" s="970"/>
      <c r="BO14" s="970"/>
      <c r="BP14" s="970"/>
      <c r="BQ14" s="970"/>
      <c r="BR14" s="970"/>
      <c r="BS14" s="970"/>
      <c r="BT14" s="970"/>
      <c r="BU14" s="970"/>
      <c r="BV14" s="970"/>
      <c r="BW14" s="970"/>
      <c r="BX14" s="970"/>
      <c r="BY14" s="970"/>
      <c r="BZ14" s="970"/>
      <c r="CA14" s="970"/>
      <c r="CB14" s="970"/>
      <c r="CC14" s="970"/>
    </row>
    <row r="15" spans="1:81" s="268" customFormat="1" ht="19.5" thickBot="1" x14ac:dyDescent="0.3">
      <c r="A15" s="998"/>
      <c r="B15" s="999"/>
      <c r="C15" s="999"/>
      <c r="D15" s="999"/>
      <c r="E15" s="1000"/>
      <c r="F15" s="999"/>
      <c r="G15" s="1001"/>
      <c r="H15" s="1150"/>
      <c r="I15" s="1149"/>
      <c r="J15" s="1147"/>
      <c r="K15" s="968"/>
      <c r="N15" s="982"/>
      <c r="P15" s="969"/>
      <c r="Q15" s="970"/>
      <c r="R15" s="970"/>
      <c r="S15" s="970"/>
      <c r="T15" s="970"/>
      <c r="U15" s="970"/>
      <c r="V15" s="970"/>
      <c r="W15" s="970"/>
      <c r="X15" s="970"/>
      <c r="Y15" s="970"/>
      <c r="Z15" s="970"/>
      <c r="AA15" s="970"/>
      <c r="AB15" s="970"/>
      <c r="AC15" s="970"/>
      <c r="AD15" s="970"/>
      <c r="AE15" s="970"/>
      <c r="AF15" s="970"/>
      <c r="AG15" s="970"/>
      <c r="AH15" s="970"/>
      <c r="AI15" s="970"/>
      <c r="AJ15" s="970"/>
      <c r="AK15" s="970"/>
      <c r="AL15" s="970"/>
      <c r="AM15" s="970"/>
      <c r="AN15" s="970"/>
      <c r="AO15" s="970"/>
      <c r="AP15" s="970"/>
      <c r="AQ15" s="970"/>
      <c r="AR15" s="970"/>
      <c r="AS15" s="970"/>
      <c r="AT15" s="970"/>
      <c r="AU15" s="970"/>
      <c r="AV15" s="970"/>
      <c r="AW15" s="970"/>
      <c r="AX15" s="970"/>
      <c r="AY15" s="970"/>
      <c r="AZ15" s="970"/>
      <c r="BA15" s="970"/>
      <c r="BB15" s="970"/>
      <c r="BC15" s="970"/>
      <c r="BD15" s="970"/>
      <c r="BE15" s="970"/>
      <c r="BF15" s="970"/>
      <c r="BG15" s="970"/>
      <c r="BH15" s="970"/>
      <c r="BI15" s="970"/>
      <c r="BJ15" s="970"/>
      <c r="BK15" s="970"/>
      <c r="BL15" s="970"/>
      <c r="BM15" s="970"/>
      <c r="BN15" s="970"/>
      <c r="BO15" s="970"/>
      <c r="BP15" s="970"/>
      <c r="BQ15" s="970"/>
      <c r="BR15" s="970"/>
      <c r="BS15" s="970"/>
      <c r="BT15" s="970"/>
      <c r="BU15" s="970"/>
      <c r="BV15" s="970"/>
      <c r="BW15" s="970"/>
      <c r="BX15" s="970"/>
      <c r="BY15" s="970"/>
      <c r="BZ15" s="970"/>
      <c r="CA15" s="970"/>
      <c r="CB15" s="970"/>
      <c r="CC15" s="970"/>
    </row>
    <row r="16" spans="1:81" s="268" customFormat="1" ht="19.5" thickBot="1" x14ac:dyDescent="0.3">
      <c r="A16" s="1273" t="s">
        <v>1379</v>
      </c>
      <c r="B16" s="1274"/>
      <c r="C16" s="1275"/>
      <c r="D16" s="282" t="s">
        <v>1377</v>
      </c>
      <c r="E16" s="283" t="s">
        <v>1380</v>
      </c>
      <c r="F16" s="1002"/>
      <c r="G16" s="1003"/>
      <c r="H16" s="1004"/>
      <c r="I16" s="1043"/>
      <c r="J16" s="1004"/>
      <c r="K16" s="968"/>
      <c r="P16" s="969"/>
      <c r="Q16" s="970"/>
      <c r="R16" s="970"/>
      <c r="S16" s="970"/>
      <c r="T16" s="970"/>
      <c r="U16" s="970"/>
      <c r="V16" s="970"/>
      <c r="W16" s="970"/>
      <c r="X16" s="970"/>
      <c r="Y16" s="970"/>
      <c r="Z16" s="970"/>
      <c r="AA16" s="970"/>
      <c r="AB16" s="970"/>
      <c r="AC16" s="970"/>
      <c r="AD16" s="970"/>
      <c r="AE16" s="970"/>
      <c r="AF16" s="970"/>
      <c r="AG16" s="970"/>
      <c r="AH16" s="970"/>
      <c r="AI16" s="970"/>
      <c r="AJ16" s="970"/>
      <c r="AK16" s="970"/>
      <c r="AL16" s="970"/>
      <c r="AM16" s="970"/>
      <c r="AN16" s="970"/>
      <c r="AO16" s="970"/>
      <c r="AP16" s="970"/>
      <c r="AQ16" s="970"/>
      <c r="AR16" s="970"/>
      <c r="AS16" s="970"/>
      <c r="AT16" s="970"/>
      <c r="AU16" s="970"/>
      <c r="AV16" s="970"/>
      <c r="AW16" s="970"/>
      <c r="AX16" s="970"/>
      <c r="AY16" s="970"/>
      <c r="AZ16" s="970"/>
      <c r="BA16" s="970"/>
      <c r="BB16" s="970"/>
      <c r="BC16" s="970"/>
      <c r="BD16" s="970"/>
      <c r="BE16" s="970"/>
      <c r="BF16" s="970"/>
      <c r="BG16" s="970"/>
      <c r="BH16" s="970"/>
      <c r="BI16" s="970"/>
      <c r="BJ16" s="970"/>
      <c r="BK16" s="970"/>
      <c r="BL16" s="970"/>
      <c r="BM16" s="970"/>
      <c r="BN16" s="970"/>
      <c r="BO16" s="970"/>
      <c r="BP16" s="970"/>
      <c r="BQ16" s="970"/>
      <c r="BR16" s="970"/>
      <c r="BS16" s="970"/>
      <c r="BT16" s="970"/>
      <c r="BU16" s="970"/>
      <c r="BV16" s="970"/>
      <c r="BW16" s="970"/>
      <c r="BX16" s="970"/>
      <c r="BY16" s="970"/>
      <c r="BZ16" s="970"/>
      <c r="CA16" s="970"/>
      <c r="CB16" s="970"/>
      <c r="CC16" s="970"/>
    </row>
    <row r="17" spans="1:81" s="268" customFormat="1" ht="106.5" customHeight="1" thickBot="1" x14ac:dyDescent="0.3">
      <c r="A17" s="1253" t="s">
        <v>1397</v>
      </c>
      <c r="B17" s="1253"/>
      <c r="C17" s="1253"/>
      <c r="D17" s="1005" t="b">
        <f>IF(Import!L258=1,"Yes",IF(Import!L258=2,"No"))</f>
        <v>0</v>
      </c>
      <c r="E17" s="989" t="s">
        <v>1398</v>
      </c>
      <c r="F17" s="1005" t="b">
        <f>D17</f>
        <v>0</v>
      </c>
      <c r="G17" s="990"/>
      <c r="H17" s="1038" t="s">
        <v>1381</v>
      </c>
      <c r="I17" s="1041" t="s">
        <v>803</v>
      </c>
      <c r="J17" s="1042"/>
      <c r="K17" s="968"/>
      <c r="P17" s="969"/>
      <c r="Q17" s="970"/>
      <c r="R17" s="970"/>
      <c r="S17" s="970"/>
      <c r="T17" s="970"/>
      <c r="U17" s="970"/>
      <c r="V17" s="970"/>
      <c r="W17" s="970"/>
      <c r="X17" s="970"/>
      <c r="Y17" s="970"/>
      <c r="Z17" s="970"/>
      <c r="AA17" s="970"/>
      <c r="AB17" s="970"/>
      <c r="AC17" s="970"/>
      <c r="AD17" s="970"/>
      <c r="AE17" s="970"/>
      <c r="AF17" s="970"/>
      <c r="AG17" s="970"/>
      <c r="AH17" s="970"/>
      <c r="AI17" s="970"/>
      <c r="AJ17" s="970"/>
      <c r="AK17" s="970"/>
      <c r="AL17" s="970"/>
      <c r="AM17" s="970"/>
      <c r="AN17" s="970"/>
      <c r="AO17" s="970"/>
      <c r="AP17" s="970"/>
      <c r="AQ17" s="970"/>
      <c r="AR17" s="970"/>
      <c r="AS17" s="970"/>
      <c r="AT17" s="970"/>
      <c r="AU17" s="970"/>
      <c r="AV17" s="970"/>
      <c r="AW17" s="970"/>
      <c r="AX17" s="970"/>
      <c r="AY17" s="970"/>
      <c r="AZ17" s="970"/>
      <c r="BA17" s="970"/>
      <c r="BB17" s="970"/>
      <c r="BC17" s="970"/>
      <c r="BD17" s="970"/>
      <c r="BE17" s="970"/>
      <c r="BF17" s="970"/>
      <c r="BG17" s="970"/>
      <c r="BH17" s="970"/>
      <c r="BI17" s="970"/>
      <c r="BJ17" s="970"/>
      <c r="BK17" s="970"/>
      <c r="BL17" s="970"/>
      <c r="BM17" s="970"/>
      <c r="BN17" s="970"/>
      <c r="BO17" s="970"/>
      <c r="BP17" s="970"/>
      <c r="BQ17" s="970"/>
      <c r="BR17" s="970"/>
      <c r="BS17" s="970"/>
      <c r="BT17" s="970"/>
      <c r="BU17" s="970"/>
      <c r="BV17" s="970"/>
      <c r="BW17" s="970"/>
      <c r="BX17" s="970"/>
      <c r="BY17" s="970"/>
      <c r="BZ17" s="970"/>
      <c r="CA17" s="970"/>
      <c r="CB17" s="970"/>
      <c r="CC17" s="970"/>
    </row>
    <row r="18" spans="1:81" s="268" customFormat="1" ht="18" customHeight="1" thickBot="1" x14ac:dyDescent="0.3">
      <c r="A18" s="1250"/>
      <c r="B18" s="1251"/>
      <c r="C18" s="1252"/>
      <c r="D18" s="1007" t="s">
        <v>1377</v>
      </c>
      <c r="E18" s="283" t="s">
        <v>1380</v>
      </c>
      <c r="F18" s="1008"/>
      <c r="G18" s="990"/>
      <c r="H18" s="1008"/>
      <c r="I18" s="1044"/>
      <c r="J18" s="1047"/>
      <c r="K18" s="968"/>
      <c r="P18" s="969"/>
      <c r="Q18" s="970"/>
      <c r="R18" s="970"/>
      <c r="S18" s="970"/>
      <c r="T18" s="970"/>
      <c r="U18" s="970"/>
      <c r="V18" s="970"/>
      <c r="W18" s="970"/>
      <c r="X18" s="970"/>
      <c r="Y18" s="970"/>
      <c r="Z18" s="970"/>
      <c r="AA18" s="970"/>
      <c r="AB18" s="970"/>
      <c r="AC18" s="970"/>
      <c r="AD18" s="970"/>
      <c r="AE18" s="970"/>
      <c r="AF18" s="970"/>
      <c r="AG18" s="970"/>
      <c r="AH18" s="970"/>
      <c r="AI18" s="970"/>
      <c r="AJ18" s="970"/>
      <c r="AK18" s="970"/>
      <c r="AL18" s="970"/>
      <c r="AM18" s="970"/>
      <c r="AN18" s="970"/>
      <c r="AO18" s="970"/>
      <c r="AP18" s="970"/>
      <c r="AQ18" s="970"/>
      <c r="AR18" s="970"/>
      <c r="AS18" s="970"/>
      <c r="AT18" s="970"/>
      <c r="AU18" s="970"/>
      <c r="AV18" s="970"/>
      <c r="AW18" s="970"/>
      <c r="AX18" s="970"/>
      <c r="AY18" s="970"/>
      <c r="AZ18" s="970"/>
      <c r="BA18" s="970"/>
      <c r="BB18" s="970"/>
      <c r="BC18" s="970"/>
      <c r="BD18" s="970"/>
      <c r="BE18" s="970"/>
      <c r="BF18" s="970"/>
      <c r="BG18" s="970"/>
      <c r="BH18" s="970"/>
      <c r="BI18" s="970"/>
      <c r="BJ18" s="970"/>
      <c r="BK18" s="970"/>
      <c r="BL18" s="970"/>
      <c r="BM18" s="970"/>
      <c r="BN18" s="970"/>
      <c r="BO18" s="970"/>
      <c r="BP18" s="970"/>
      <c r="BQ18" s="970"/>
      <c r="BR18" s="970"/>
      <c r="BS18" s="970"/>
      <c r="BT18" s="970"/>
      <c r="BU18" s="970"/>
      <c r="BV18" s="970"/>
      <c r="BW18" s="970"/>
      <c r="BX18" s="970"/>
      <c r="BY18" s="970"/>
      <c r="BZ18" s="970"/>
      <c r="CA18" s="970"/>
      <c r="CB18" s="970"/>
      <c r="CC18" s="970"/>
    </row>
    <row r="19" spans="1:81" s="268" customFormat="1" ht="69.75" hidden="1" customHeight="1" thickBot="1" x14ac:dyDescent="0.3">
      <c r="A19" s="1253" t="s">
        <v>983</v>
      </c>
      <c r="B19" s="1253"/>
      <c r="C19" s="1253"/>
      <c r="D19" s="1009" t="str">
        <f>IFERROR((Import!L67-Import!L68)/Import!L68,"")</f>
        <v/>
      </c>
      <c r="E19" s="989" t="s">
        <v>785</v>
      </c>
      <c r="F19" s="1010" t="str">
        <f>+D19</f>
        <v/>
      </c>
      <c r="G19" s="990"/>
      <c r="H19" s="1027" t="s">
        <v>1382</v>
      </c>
      <c r="I19" s="1041" t="s">
        <v>808</v>
      </c>
      <c r="J19" s="1042"/>
      <c r="K19" s="968"/>
      <c r="P19" s="969"/>
      <c r="Q19" s="970"/>
      <c r="R19" s="970"/>
      <c r="S19" s="970"/>
      <c r="T19" s="970"/>
      <c r="U19" s="970"/>
      <c r="V19" s="970"/>
      <c r="W19" s="970"/>
      <c r="X19" s="970"/>
      <c r="Y19" s="970"/>
      <c r="Z19" s="970"/>
      <c r="AA19" s="970"/>
      <c r="AB19" s="970"/>
      <c r="AC19" s="970"/>
      <c r="AD19" s="970"/>
      <c r="AE19" s="970"/>
      <c r="AF19" s="970"/>
      <c r="AG19" s="970"/>
      <c r="AH19" s="970"/>
      <c r="AI19" s="970"/>
      <c r="AJ19" s="970"/>
      <c r="AK19" s="970"/>
      <c r="AL19" s="970"/>
      <c r="AM19" s="970"/>
      <c r="AN19" s="970"/>
      <c r="AO19" s="970"/>
      <c r="AP19" s="970"/>
      <c r="AQ19" s="970"/>
      <c r="AR19" s="970"/>
      <c r="AS19" s="970"/>
      <c r="AT19" s="970"/>
      <c r="AU19" s="970"/>
      <c r="AV19" s="970"/>
      <c r="AW19" s="970"/>
      <c r="AX19" s="970"/>
      <c r="AY19" s="970"/>
      <c r="AZ19" s="970"/>
      <c r="BA19" s="970"/>
      <c r="BB19" s="970"/>
      <c r="BC19" s="970"/>
      <c r="BD19" s="970"/>
      <c r="BE19" s="970"/>
      <c r="BF19" s="970"/>
      <c r="BG19" s="970"/>
      <c r="BH19" s="970"/>
      <c r="BI19" s="970"/>
      <c r="BJ19" s="970"/>
      <c r="BK19" s="970"/>
      <c r="BL19" s="970"/>
      <c r="BM19" s="970"/>
      <c r="BN19" s="970"/>
      <c r="BO19" s="970"/>
      <c r="BP19" s="970"/>
      <c r="BQ19" s="970"/>
      <c r="BR19" s="970"/>
      <c r="BS19" s="970"/>
      <c r="BT19" s="970"/>
      <c r="BU19" s="970"/>
      <c r="BV19" s="970"/>
      <c r="BW19" s="970"/>
      <c r="BX19" s="970"/>
      <c r="BY19" s="970"/>
      <c r="BZ19" s="970"/>
      <c r="CA19" s="970"/>
      <c r="CB19" s="970"/>
      <c r="CC19" s="970"/>
    </row>
    <row r="20" spans="1:81" s="268" customFormat="1" ht="18" hidden="1" customHeight="1" thickBot="1" x14ac:dyDescent="0.3">
      <c r="A20" s="1250"/>
      <c r="B20" s="1251"/>
      <c r="C20" s="1252"/>
      <c r="D20" s="1007" t="s">
        <v>1377</v>
      </c>
      <c r="E20" s="283" t="s">
        <v>1380</v>
      </c>
      <c r="F20" s="1008"/>
      <c r="G20" s="990"/>
      <c r="H20" s="1008"/>
      <c r="I20" s="1044"/>
      <c r="J20" s="1047"/>
      <c r="K20" s="1011"/>
      <c r="P20" s="969"/>
      <c r="Q20" s="970"/>
      <c r="R20" s="970"/>
      <c r="S20" s="970"/>
      <c r="T20" s="970"/>
      <c r="U20" s="970"/>
      <c r="V20" s="970"/>
      <c r="W20" s="970"/>
      <c r="X20" s="970"/>
      <c r="Y20" s="970"/>
      <c r="Z20" s="970"/>
      <c r="AA20" s="970"/>
      <c r="AB20" s="970"/>
      <c r="AC20" s="970"/>
      <c r="AD20" s="970"/>
      <c r="AE20" s="970"/>
      <c r="AF20" s="970"/>
      <c r="AG20" s="970"/>
      <c r="AH20" s="970"/>
      <c r="AI20" s="970"/>
      <c r="AJ20" s="970"/>
      <c r="AK20" s="970"/>
      <c r="AL20" s="970"/>
      <c r="AM20" s="970"/>
      <c r="AN20" s="970"/>
      <c r="AO20" s="970"/>
      <c r="AP20" s="970"/>
      <c r="AQ20" s="970"/>
      <c r="AR20" s="970"/>
      <c r="AS20" s="970"/>
      <c r="AT20" s="970"/>
      <c r="AU20" s="970"/>
      <c r="AV20" s="970"/>
      <c r="AW20" s="970"/>
      <c r="AX20" s="970"/>
      <c r="AY20" s="970"/>
      <c r="AZ20" s="970"/>
      <c r="BA20" s="970"/>
      <c r="BB20" s="970"/>
      <c r="BC20" s="970"/>
      <c r="BD20" s="970"/>
      <c r="BE20" s="970"/>
      <c r="BF20" s="970"/>
      <c r="BG20" s="970"/>
      <c r="BH20" s="970"/>
      <c r="BI20" s="970"/>
      <c r="BJ20" s="970"/>
      <c r="BK20" s="970"/>
      <c r="BL20" s="970"/>
      <c r="BM20" s="970"/>
      <c r="BN20" s="970"/>
      <c r="BO20" s="970"/>
      <c r="BP20" s="970"/>
      <c r="BQ20" s="970"/>
      <c r="BR20" s="970"/>
      <c r="BS20" s="970"/>
      <c r="BT20" s="970"/>
      <c r="BU20" s="970"/>
      <c r="BV20" s="970"/>
      <c r="BW20" s="970"/>
      <c r="BX20" s="970"/>
      <c r="BY20" s="970"/>
      <c r="BZ20" s="970"/>
      <c r="CA20" s="970"/>
      <c r="CB20" s="970"/>
      <c r="CC20" s="970"/>
    </row>
    <row r="21" spans="1:81" s="268" customFormat="1" ht="74.25" hidden="1" customHeight="1" thickBot="1" x14ac:dyDescent="0.3">
      <c r="A21" s="1253" t="s">
        <v>1383</v>
      </c>
      <c r="B21" s="1253"/>
      <c r="C21" s="1253"/>
      <c r="D21" s="1005" t="b">
        <f>IF(Import!L244=20,"Increase",IF(Import!L244=21,"Decrease",IF(Import!L244=22,"No Change",IF(Import!L244=23,"N/A"))))</f>
        <v>0</v>
      </c>
      <c r="E21" s="989" t="s">
        <v>1384</v>
      </c>
      <c r="F21" s="1005" t="b">
        <f>D21</f>
        <v>0</v>
      </c>
      <c r="G21" s="990"/>
      <c r="H21" s="1027" t="s">
        <v>1385</v>
      </c>
      <c r="I21" s="1041" t="s">
        <v>809</v>
      </c>
      <c r="J21" s="1042"/>
      <c r="K21" s="1012"/>
      <c r="P21" s="969"/>
      <c r="Q21" s="970"/>
      <c r="R21" s="970"/>
      <c r="S21" s="970"/>
      <c r="T21" s="970"/>
      <c r="U21" s="970"/>
      <c r="V21" s="970"/>
      <c r="W21" s="970"/>
      <c r="X21" s="970"/>
      <c r="Y21" s="970"/>
      <c r="Z21" s="970"/>
      <c r="AA21" s="970"/>
      <c r="AB21" s="970"/>
      <c r="AC21" s="970"/>
      <c r="AD21" s="970"/>
      <c r="AE21" s="970"/>
      <c r="AF21" s="970"/>
      <c r="AG21" s="970"/>
      <c r="AH21" s="970"/>
      <c r="AI21" s="970"/>
      <c r="AJ21" s="970"/>
      <c r="AK21" s="970"/>
      <c r="AL21" s="970"/>
      <c r="AM21" s="970"/>
      <c r="AN21" s="970"/>
      <c r="AO21" s="970"/>
      <c r="AP21" s="970"/>
      <c r="AQ21" s="970"/>
      <c r="AR21" s="970"/>
      <c r="AS21" s="970"/>
      <c r="AT21" s="970"/>
      <c r="AU21" s="970"/>
      <c r="AV21" s="970"/>
      <c r="AW21" s="970"/>
      <c r="AX21" s="970"/>
      <c r="AY21" s="970"/>
      <c r="AZ21" s="970"/>
      <c r="BA21" s="970"/>
      <c r="BB21" s="970"/>
      <c r="BC21" s="970"/>
      <c r="BD21" s="970"/>
      <c r="BE21" s="970"/>
      <c r="BF21" s="970"/>
      <c r="BG21" s="970"/>
      <c r="BH21" s="970"/>
      <c r="BI21" s="970"/>
      <c r="BJ21" s="970"/>
      <c r="BK21" s="970"/>
      <c r="BL21" s="970"/>
      <c r="BM21" s="970"/>
      <c r="BN21" s="970"/>
      <c r="BO21" s="970"/>
      <c r="BP21" s="970"/>
      <c r="BQ21" s="970"/>
      <c r="BR21" s="970"/>
      <c r="BS21" s="970"/>
      <c r="BT21" s="970"/>
      <c r="BU21" s="970"/>
      <c r="BV21" s="970"/>
      <c r="BW21" s="970"/>
      <c r="BX21" s="970"/>
      <c r="BY21" s="970"/>
      <c r="BZ21" s="970"/>
      <c r="CA21" s="970"/>
      <c r="CB21" s="970"/>
      <c r="CC21" s="970"/>
    </row>
    <row r="22" spans="1:81" s="268" customFormat="1" ht="18" hidden="1" customHeight="1" thickBot="1" x14ac:dyDescent="0.3">
      <c r="A22" s="1250"/>
      <c r="B22" s="1251"/>
      <c r="C22" s="1252"/>
      <c r="D22" s="1007" t="s">
        <v>1377</v>
      </c>
      <c r="E22" s="283" t="s">
        <v>1380</v>
      </c>
      <c r="F22" s="1008"/>
      <c r="G22" s="990"/>
      <c r="H22" s="1036"/>
      <c r="I22" s="1044"/>
      <c r="J22" s="1047"/>
      <c r="K22" s="1013"/>
      <c r="P22" s="969"/>
      <c r="Q22" s="970"/>
      <c r="R22" s="970"/>
      <c r="S22" s="970"/>
      <c r="T22" s="970"/>
      <c r="U22" s="970"/>
      <c r="V22" s="970"/>
      <c r="W22" s="970"/>
      <c r="X22" s="970"/>
      <c r="Y22" s="970"/>
      <c r="Z22" s="970"/>
      <c r="AA22" s="970"/>
      <c r="AB22" s="970"/>
      <c r="AC22" s="970"/>
      <c r="AD22" s="970"/>
      <c r="AE22" s="970"/>
      <c r="AF22" s="970"/>
      <c r="AG22" s="970"/>
      <c r="AH22" s="970"/>
      <c r="AI22" s="970"/>
      <c r="AJ22" s="970"/>
      <c r="AK22" s="970"/>
      <c r="AL22" s="970"/>
      <c r="AM22" s="970"/>
      <c r="AN22" s="970"/>
      <c r="AO22" s="970"/>
      <c r="AP22" s="970"/>
      <c r="AQ22" s="970"/>
      <c r="AR22" s="970"/>
      <c r="AS22" s="970"/>
      <c r="AT22" s="970"/>
      <c r="AU22" s="970"/>
      <c r="AV22" s="970"/>
      <c r="AW22" s="970"/>
      <c r="AX22" s="970"/>
      <c r="AY22" s="970"/>
      <c r="AZ22" s="970"/>
      <c r="BA22" s="970"/>
      <c r="BB22" s="970"/>
      <c r="BC22" s="970"/>
      <c r="BD22" s="970"/>
      <c r="BE22" s="970"/>
      <c r="BF22" s="970"/>
      <c r="BG22" s="970"/>
      <c r="BH22" s="970"/>
      <c r="BI22" s="970"/>
      <c r="BJ22" s="970"/>
      <c r="BK22" s="970"/>
      <c r="BL22" s="970"/>
      <c r="BM22" s="970"/>
      <c r="BN22" s="970"/>
      <c r="BO22" s="970"/>
      <c r="BP22" s="970"/>
      <c r="BQ22" s="970"/>
      <c r="BR22" s="970"/>
      <c r="BS22" s="970"/>
      <c r="BT22" s="970"/>
      <c r="BU22" s="970"/>
      <c r="BV22" s="970"/>
      <c r="BW22" s="970"/>
      <c r="BX22" s="970"/>
      <c r="BY22" s="970"/>
      <c r="BZ22" s="970"/>
      <c r="CA22" s="970"/>
      <c r="CB22" s="970"/>
      <c r="CC22" s="970"/>
    </row>
    <row r="23" spans="1:81" s="268" customFormat="1" ht="71.25" hidden="1" customHeight="1" thickBot="1" x14ac:dyDescent="0.3">
      <c r="A23" s="1288" t="s">
        <v>1035</v>
      </c>
      <c r="B23" s="1289"/>
      <c r="C23" s="1290"/>
      <c r="D23" s="1014" t="str">
        <f>IF(Import!L256=1,"Yes",IF(Import!L256=2,"No",IF(Import!L256=0,"Question required to be answered")))</f>
        <v>Question required to be answered</v>
      </c>
      <c r="E23" s="989" t="s">
        <v>812</v>
      </c>
      <c r="F23" s="1015" t="str">
        <f>+D23</f>
        <v>Question required to be answered</v>
      </c>
      <c r="G23" s="990"/>
      <c r="H23" s="1027" t="s">
        <v>1386</v>
      </c>
      <c r="I23" s="1041" t="s">
        <v>804</v>
      </c>
      <c r="J23" s="1042"/>
      <c r="K23" s="968"/>
      <c r="P23" s="969"/>
      <c r="Q23" s="970"/>
      <c r="R23" s="970"/>
      <c r="S23" s="970"/>
      <c r="T23" s="970"/>
      <c r="U23" s="970"/>
      <c r="V23" s="970"/>
      <c r="W23" s="970"/>
      <c r="X23" s="970"/>
      <c r="Y23" s="970"/>
      <c r="Z23" s="970"/>
      <c r="AA23" s="970"/>
      <c r="AB23" s="970"/>
      <c r="AC23" s="970"/>
      <c r="AD23" s="970"/>
      <c r="AE23" s="970"/>
      <c r="AF23" s="970"/>
      <c r="AG23" s="970"/>
      <c r="AH23" s="970"/>
      <c r="AI23" s="970"/>
      <c r="AJ23" s="970"/>
      <c r="AK23" s="970"/>
      <c r="AL23" s="970"/>
      <c r="AM23" s="970"/>
      <c r="AN23" s="970"/>
      <c r="AO23" s="970"/>
      <c r="AP23" s="970"/>
      <c r="AQ23" s="970"/>
      <c r="AR23" s="970"/>
      <c r="AS23" s="970"/>
      <c r="AT23" s="970"/>
      <c r="AU23" s="970"/>
      <c r="AV23" s="970"/>
      <c r="AW23" s="970"/>
      <c r="AX23" s="970"/>
      <c r="AY23" s="970"/>
      <c r="AZ23" s="970"/>
      <c r="BA23" s="970"/>
      <c r="BB23" s="970"/>
      <c r="BC23" s="970"/>
      <c r="BD23" s="970"/>
      <c r="BE23" s="970"/>
      <c r="BF23" s="970"/>
      <c r="BG23" s="970"/>
      <c r="BH23" s="970"/>
      <c r="BI23" s="970"/>
      <c r="BJ23" s="970"/>
      <c r="BK23" s="970"/>
      <c r="BL23" s="970"/>
      <c r="BM23" s="970"/>
      <c r="BN23" s="970"/>
      <c r="BO23" s="970"/>
      <c r="BP23" s="970"/>
      <c r="BQ23" s="970"/>
      <c r="BR23" s="970"/>
      <c r="BS23" s="970"/>
      <c r="BT23" s="970"/>
      <c r="BU23" s="970"/>
      <c r="BV23" s="970"/>
      <c r="BW23" s="970"/>
      <c r="BX23" s="970"/>
      <c r="BY23" s="970"/>
      <c r="BZ23" s="970"/>
      <c r="CA23" s="970"/>
      <c r="CB23" s="970"/>
      <c r="CC23" s="970"/>
    </row>
    <row r="24" spans="1:81" s="268" customFormat="1" ht="18" hidden="1" customHeight="1" thickBot="1" x14ac:dyDescent="0.3">
      <c r="A24" s="1250"/>
      <c r="B24" s="1251"/>
      <c r="C24" s="1252"/>
      <c r="D24" s="1007" t="s">
        <v>1377</v>
      </c>
      <c r="E24" s="283" t="s">
        <v>1380</v>
      </c>
      <c r="F24" s="1016"/>
      <c r="G24" s="990"/>
      <c r="H24" s="1036"/>
      <c r="I24" s="1044"/>
      <c r="J24" s="1047"/>
      <c r="K24" s="968"/>
      <c r="P24" s="969"/>
      <c r="Q24" s="970"/>
      <c r="R24" s="970"/>
      <c r="S24" s="970"/>
      <c r="T24" s="970"/>
      <c r="U24" s="970"/>
      <c r="V24" s="970"/>
      <c r="W24" s="970"/>
      <c r="X24" s="970"/>
      <c r="Y24" s="970"/>
      <c r="Z24" s="970"/>
      <c r="AA24" s="970"/>
      <c r="AB24" s="970"/>
      <c r="AC24" s="970"/>
      <c r="AD24" s="970"/>
      <c r="AE24" s="970"/>
      <c r="AF24" s="970"/>
      <c r="AG24" s="970"/>
      <c r="AH24" s="970"/>
      <c r="AI24" s="970"/>
      <c r="AJ24" s="970"/>
      <c r="AK24" s="970"/>
      <c r="AL24" s="970"/>
      <c r="AM24" s="970"/>
      <c r="AN24" s="970"/>
      <c r="AO24" s="970"/>
      <c r="AP24" s="970"/>
      <c r="AQ24" s="970"/>
      <c r="AR24" s="970"/>
      <c r="AS24" s="970"/>
      <c r="AT24" s="970"/>
      <c r="AU24" s="970"/>
      <c r="AV24" s="970"/>
      <c r="AW24" s="970"/>
      <c r="AX24" s="970"/>
      <c r="AY24" s="970"/>
      <c r="AZ24" s="970"/>
      <c r="BA24" s="970"/>
      <c r="BB24" s="970"/>
      <c r="BC24" s="970"/>
      <c r="BD24" s="970"/>
      <c r="BE24" s="970"/>
      <c r="BF24" s="970"/>
      <c r="BG24" s="970"/>
      <c r="BH24" s="970"/>
      <c r="BI24" s="970"/>
      <c r="BJ24" s="970"/>
      <c r="BK24" s="970"/>
      <c r="BL24" s="970"/>
      <c r="BM24" s="970"/>
      <c r="BN24" s="970"/>
      <c r="BO24" s="970"/>
      <c r="BP24" s="970"/>
      <c r="BQ24" s="970"/>
      <c r="BR24" s="970"/>
      <c r="BS24" s="970"/>
      <c r="BT24" s="970"/>
      <c r="BU24" s="970"/>
      <c r="BV24" s="970"/>
      <c r="BW24" s="970"/>
      <c r="BX24" s="970"/>
      <c r="BY24" s="970"/>
      <c r="BZ24" s="970"/>
      <c r="CA24" s="970"/>
      <c r="CB24" s="970"/>
      <c r="CC24" s="970"/>
    </row>
    <row r="25" spans="1:81" s="268" customFormat="1" ht="81" hidden="1" customHeight="1" thickBot="1" x14ac:dyDescent="0.3">
      <c r="A25" s="1288" t="s">
        <v>984</v>
      </c>
      <c r="B25" s="1289"/>
      <c r="C25" s="1290"/>
      <c r="D25" s="1009" t="str">
        <f>IF(Import!L191&gt;(Import!L155+Import!L158)*0.03,"Yes","No")</f>
        <v>No</v>
      </c>
      <c r="E25" s="1017"/>
      <c r="F25" s="1009" t="str">
        <f>+D25</f>
        <v>No</v>
      </c>
      <c r="G25" s="990"/>
      <c r="H25" s="987" t="s">
        <v>1387</v>
      </c>
      <c r="I25" s="1041" t="s">
        <v>810</v>
      </c>
      <c r="J25" s="1042"/>
      <c r="K25" s="968"/>
      <c r="P25" s="969"/>
      <c r="Q25" s="970"/>
      <c r="R25" s="970"/>
      <c r="S25" s="970"/>
      <c r="T25" s="970"/>
      <c r="U25" s="970"/>
      <c r="V25" s="970"/>
      <c r="W25" s="970"/>
      <c r="X25" s="970"/>
      <c r="Y25" s="970"/>
      <c r="Z25" s="970"/>
      <c r="AA25" s="970"/>
      <c r="AB25" s="970"/>
      <c r="AC25" s="970"/>
      <c r="AD25" s="970"/>
      <c r="AE25" s="970"/>
      <c r="AF25" s="970"/>
      <c r="AG25" s="970"/>
      <c r="AH25" s="970"/>
      <c r="AI25" s="970"/>
      <c r="AJ25" s="970"/>
      <c r="AK25" s="970"/>
      <c r="AL25" s="970"/>
      <c r="AM25" s="970"/>
      <c r="AN25" s="970"/>
      <c r="AO25" s="970"/>
      <c r="AP25" s="970"/>
      <c r="AQ25" s="970"/>
      <c r="AR25" s="970"/>
      <c r="AS25" s="970"/>
      <c r="AT25" s="970"/>
      <c r="AU25" s="970"/>
      <c r="AV25" s="970"/>
      <c r="AW25" s="970"/>
      <c r="AX25" s="970"/>
      <c r="AY25" s="970"/>
      <c r="AZ25" s="970"/>
      <c r="BA25" s="970"/>
      <c r="BB25" s="970"/>
      <c r="BC25" s="970"/>
      <c r="BD25" s="970"/>
      <c r="BE25" s="970"/>
      <c r="BF25" s="970"/>
      <c r="BG25" s="970"/>
      <c r="BH25" s="970"/>
      <c r="BI25" s="970"/>
      <c r="BJ25" s="970"/>
      <c r="BK25" s="970"/>
      <c r="BL25" s="970"/>
      <c r="BM25" s="970"/>
      <c r="BN25" s="970"/>
      <c r="BO25" s="970"/>
      <c r="BP25" s="970"/>
      <c r="BQ25" s="970"/>
      <c r="BR25" s="970"/>
      <c r="BS25" s="970"/>
      <c r="BT25" s="970"/>
      <c r="BU25" s="970"/>
      <c r="BV25" s="970"/>
      <c r="BW25" s="970"/>
      <c r="BX25" s="970"/>
      <c r="BY25" s="970"/>
      <c r="BZ25" s="970"/>
      <c r="CA25" s="970"/>
      <c r="CB25" s="970"/>
      <c r="CC25" s="970"/>
    </row>
    <row r="26" spans="1:81" s="268" customFormat="1" ht="18" hidden="1" customHeight="1" thickBot="1" x14ac:dyDescent="0.3">
      <c r="A26" s="1250"/>
      <c r="B26" s="1251"/>
      <c r="C26" s="1252"/>
      <c r="D26" s="1007" t="s">
        <v>1377</v>
      </c>
      <c r="E26" s="283" t="s">
        <v>1380</v>
      </c>
      <c r="F26" s="1008"/>
      <c r="G26" s="990"/>
      <c r="H26" s="1008"/>
      <c r="I26" s="1044"/>
      <c r="J26" s="1047"/>
      <c r="K26" s="968"/>
      <c r="P26" s="969"/>
      <c r="Q26" s="970"/>
      <c r="R26" s="970"/>
      <c r="S26" s="970"/>
      <c r="T26" s="970"/>
      <c r="U26" s="970"/>
      <c r="V26" s="970"/>
      <c r="W26" s="970"/>
      <c r="X26" s="970"/>
      <c r="Y26" s="970"/>
      <c r="Z26" s="970"/>
      <c r="AA26" s="970"/>
      <c r="AB26" s="970"/>
      <c r="AC26" s="970"/>
      <c r="AD26" s="970"/>
      <c r="AE26" s="970"/>
      <c r="AF26" s="970"/>
      <c r="AG26" s="970"/>
      <c r="AH26" s="970"/>
      <c r="AI26" s="970"/>
      <c r="AJ26" s="970"/>
      <c r="AK26" s="970"/>
      <c r="AL26" s="970"/>
      <c r="AM26" s="970"/>
      <c r="AN26" s="970"/>
      <c r="AO26" s="970"/>
      <c r="AP26" s="970"/>
      <c r="AQ26" s="970"/>
      <c r="AR26" s="970"/>
      <c r="AS26" s="970"/>
      <c r="AT26" s="970"/>
      <c r="AU26" s="970"/>
      <c r="AV26" s="970"/>
      <c r="AW26" s="970"/>
      <c r="AX26" s="970"/>
      <c r="AY26" s="970"/>
      <c r="AZ26" s="970"/>
      <c r="BA26" s="970"/>
      <c r="BB26" s="970"/>
      <c r="BC26" s="970"/>
      <c r="BD26" s="970"/>
      <c r="BE26" s="970"/>
      <c r="BF26" s="970"/>
      <c r="BG26" s="970"/>
      <c r="BH26" s="970"/>
      <c r="BI26" s="970"/>
      <c r="BJ26" s="970"/>
      <c r="BK26" s="970"/>
      <c r="BL26" s="970"/>
      <c r="BM26" s="970"/>
      <c r="BN26" s="970"/>
      <c r="BO26" s="970"/>
      <c r="BP26" s="970"/>
      <c r="BQ26" s="970"/>
      <c r="BR26" s="970"/>
      <c r="BS26" s="970"/>
      <c r="BT26" s="970"/>
      <c r="BU26" s="970"/>
      <c r="BV26" s="970"/>
      <c r="BW26" s="970"/>
      <c r="BX26" s="970"/>
      <c r="BY26" s="970"/>
      <c r="BZ26" s="970"/>
      <c r="CA26" s="970"/>
      <c r="CB26" s="970"/>
      <c r="CC26" s="970"/>
    </row>
    <row r="27" spans="1:81" s="268" customFormat="1" ht="128.25" customHeight="1" thickBot="1" x14ac:dyDescent="0.3">
      <c r="A27" s="1301" t="s">
        <v>1388</v>
      </c>
      <c r="B27" s="1301"/>
      <c r="C27" s="1301"/>
      <c r="D27" s="989" t="str">
        <f>IFERROR(VLOOKUP(B5,UAL!A3:D141,4,FALSE),"Unit is not on the Unit Assistance List at this time")</f>
        <v>Unit is not on the Unit Assistance List at this time</v>
      </c>
      <c r="E27" s="989" t="s">
        <v>1305</v>
      </c>
      <c r="F27" s="989" t="str">
        <f>D27</f>
        <v>Unit is not on the Unit Assistance List at this time</v>
      </c>
      <c r="G27" s="997"/>
      <c r="H27" s="1037" t="str">
        <f>IF(D27="Unit is not on the Unit Assistance List at this time","N/A-Unit is not on the Unit Assistance List.",L27)</f>
        <v>N/A-Unit is not on the Unit Assistance List.</v>
      </c>
      <c r="I27" s="1045"/>
      <c r="J27" s="1042"/>
      <c r="K27" s="968"/>
      <c r="L27" s="268" t="s">
        <v>1062</v>
      </c>
      <c r="P27" s="969"/>
      <c r="Q27" s="970"/>
      <c r="R27" s="970"/>
      <c r="S27" s="970"/>
      <c r="T27" s="970"/>
      <c r="U27" s="970"/>
      <c r="V27" s="970"/>
      <c r="W27" s="970"/>
      <c r="X27" s="970"/>
      <c r="Y27" s="970"/>
      <c r="Z27" s="970"/>
      <c r="AA27" s="970"/>
      <c r="AB27" s="970"/>
      <c r="AC27" s="970"/>
      <c r="AD27" s="970"/>
      <c r="AE27" s="970"/>
      <c r="AF27" s="970"/>
      <c r="AG27" s="970"/>
      <c r="AH27" s="970"/>
      <c r="AI27" s="970"/>
      <c r="AJ27" s="970"/>
      <c r="AK27" s="970"/>
      <c r="AL27" s="970"/>
      <c r="AM27" s="970"/>
      <c r="AN27" s="970"/>
      <c r="AO27" s="970"/>
      <c r="AP27" s="970"/>
      <c r="AQ27" s="970"/>
      <c r="AR27" s="970"/>
      <c r="AS27" s="970"/>
      <c r="AT27" s="970"/>
      <c r="AU27" s="970"/>
      <c r="AV27" s="970"/>
      <c r="AW27" s="970"/>
      <c r="AX27" s="970"/>
      <c r="AY27" s="970"/>
      <c r="AZ27" s="970"/>
      <c r="BA27" s="970"/>
      <c r="BB27" s="970"/>
      <c r="BC27" s="970"/>
      <c r="BD27" s="970"/>
      <c r="BE27" s="970"/>
      <c r="BF27" s="970"/>
      <c r="BG27" s="970"/>
      <c r="BH27" s="970"/>
      <c r="BI27" s="970"/>
      <c r="BJ27" s="970"/>
      <c r="BK27" s="970"/>
      <c r="BL27" s="970"/>
      <c r="BM27" s="970"/>
      <c r="BN27" s="970"/>
      <c r="BO27" s="970"/>
      <c r="BP27" s="970"/>
      <c r="BQ27" s="970"/>
      <c r="BR27" s="970"/>
      <c r="BS27" s="970"/>
      <c r="BT27" s="970"/>
      <c r="BU27" s="970"/>
      <c r="BV27" s="970"/>
      <c r="BW27" s="970"/>
      <c r="BX27" s="970"/>
      <c r="BY27" s="970"/>
      <c r="BZ27" s="970"/>
      <c r="CA27" s="970"/>
      <c r="CB27" s="970"/>
      <c r="CC27" s="970"/>
    </row>
    <row r="28" spans="1:81" s="268" customFormat="1" ht="18" customHeight="1" thickBot="1" x14ac:dyDescent="0.3">
      <c r="A28" s="1250"/>
      <c r="B28" s="1251"/>
      <c r="C28" s="1252"/>
      <c r="D28" s="1007" t="s">
        <v>1377</v>
      </c>
      <c r="E28" s="283" t="s">
        <v>1380</v>
      </c>
      <c r="F28" s="1008"/>
      <c r="G28" s="990"/>
      <c r="H28" s="1036"/>
      <c r="I28" s="1044"/>
      <c r="J28" s="1047"/>
      <c r="K28" s="968"/>
      <c r="P28" s="969"/>
      <c r="Q28" s="970"/>
      <c r="R28" s="970"/>
      <c r="S28" s="970"/>
      <c r="T28" s="970"/>
      <c r="U28" s="970"/>
      <c r="V28" s="970"/>
      <c r="W28" s="970"/>
      <c r="X28" s="970"/>
      <c r="Y28" s="970"/>
      <c r="Z28" s="970"/>
      <c r="AA28" s="970"/>
      <c r="AB28" s="970"/>
      <c r="AC28" s="970"/>
      <c r="AD28" s="970"/>
      <c r="AE28" s="970"/>
      <c r="AF28" s="970"/>
      <c r="AG28" s="970"/>
      <c r="AH28" s="970"/>
      <c r="AI28" s="970"/>
      <c r="AJ28" s="970"/>
      <c r="AK28" s="970"/>
      <c r="AL28" s="970"/>
      <c r="AM28" s="970"/>
      <c r="AN28" s="970"/>
      <c r="AO28" s="970"/>
      <c r="AP28" s="970"/>
      <c r="AQ28" s="970"/>
      <c r="AR28" s="970"/>
      <c r="AS28" s="970"/>
      <c r="AT28" s="970"/>
      <c r="AU28" s="970"/>
      <c r="AV28" s="970"/>
      <c r="AW28" s="970"/>
      <c r="AX28" s="970"/>
      <c r="AY28" s="970"/>
      <c r="AZ28" s="970"/>
      <c r="BA28" s="970"/>
      <c r="BB28" s="970"/>
      <c r="BC28" s="970"/>
      <c r="BD28" s="970"/>
      <c r="BE28" s="970"/>
      <c r="BF28" s="970"/>
      <c r="BG28" s="970"/>
      <c r="BH28" s="970"/>
      <c r="BI28" s="970"/>
      <c r="BJ28" s="970"/>
      <c r="BK28" s="970"/>
      <c r="BL28" s="970"/>
      <c r="BM28" s="970"/>
      <c r="BN28" s="970"/>
      <c r="BO28" s="970"/>
      <c r="BP28" s="970"/>
      <c r="BQ28" s="970"/>
      <c r="BR28" s="970"/>
      <c r="BS28" s="970"/>
      <c r="BT28" s="970"/>
      <c r="BU28" s="970"/>
      <c r="BV28" s="970"/>
      <c r="BW28" s="970"/>
      <c r="BX28" s="970"/>
      <c r="BY28" s="970"/>
      <c r="BZ28" s="970"/>
      <c r="CA28" s="970"/>
      <c r="CB28" s="970"/>
      <c r="CC28" s="970"/>
    </row>
    <row r="29" spans="1:81" s="268" customFormat="1" ht="59.25" customHeight="1" thickBot="1" x14ac:dyDescent="0.3">
      <c r="A29" s="1273" t="s">
        <v>1037</v>
      </c>
      <c r="B29" s="1274"/>
      <c r="C29" s="1302"/>
      <c r="D29" s="992" t="str">
        <f>IF(Import!L257=1,"Yes",IF(Import!L257=2,"No",IF(Import!L257="0","This question must be answered")))</f>
        <v>This question must be answered</v>
      </c>
      <c r="E29" s="1018"/>
      <c r="F29" s="992" t="str">
        <f>+D29</f>
        <v>This question must be answered</v>
      </c>
      <c r="G29" s="990"/>
      <c r="H29" s="1027" t="s">
        <v>1389</v>
      </c>
      <c r="I29" s="1046" t="s">
        <v>811</v>
      </c>
      <c r="J29" s="1042"/>
      <c r="K29" s="968"/>
      <c r="P29" s="969"/>
      <c r="Q29" s="970"/>
      <c r="R29" s="970"/>
      <c r="S29" s="970"/>
      <c r="T29" s="970"/>
      <c r="U29" s="970"/>
      <c r="V29" s="970"/>
      <c r="W29" s="970"/>
      <c r="X29" s="970"/>
      <c r="Y29" s="970"/>
      <c r="Z29" s="970"/>
      <c r="AA29" s="970"/>
      <c r="AB29" s="970"/>
      <c r="AC29" s="970"/>
      <c r="AD29" s="970"/>
      <c r="AE29" s="970"/>
      <c r="AF29" s="970"/>
      <c r="AG29" s="970"/>
      <c r="AH29" s="970"/>
      <c r="AI29" s="970"/>
      <c r="AJ29" s="970"/>
      <c r="AK29" s="970"/>
      <c r="AL29" s="970"/>
      <c r="AM29" s="970"/>
      <c r="AN29" s="970"/>
      <c r="AO29" s="970"/>
      <c r="AP29" s="970"/>
      <c r="AQ29" s="970"/>
      <c r="AR29" s="970"/>
      <c r="AS29" s="970"/>
      <c r="AT29" s="970"/>
      <c r="AU29" s="970"/>
      <c r="AV29" s="970"/>
      <c r="AW29" s="970"/>
      <c r="AX29" s="970"/>
      <c r="AY29" s="970"/>
      <c r="AZ29" s="970"/>
      <c r="BA29" s="970"/>
      <c r="BB29" s="970"/>
      <c r="BC29" s="970"/>
      <c r="BD29" s="970"/>
      <c r="BE29" s="970"/>
      <c r="BF29" s="970"/>
      <c r="BG29" s="970"/>
      <c r="BH29" s="970"/>
      <c r="BI29" s="970"/>
      <c r="BJ29" s="970"/>
      <c r="BK29" s="970"/>
      <c r="BL29" s="970"/>
      <c r="BM29" s="970"/>
      <c r="BN29" s="970"/>
      <c r="BO29" s="970"/>
      <c r="BP29" s="970"/>
      <c r="BQ29" s="970"/>
      <c r="BR29" s="970"/>
      <c r="BS29" s="970"/>
      <c r="BT29" s="970"/>
      <c r="BU29" s="970"/>
      <c r="BV29" s="970"/>
      <c r="BW29" s="970"/>
      <c r="BX29" s="970"/>
      <c r="BY29" s="970"/>
      <c r="BZ29" s="970"/>
      <c r="CA29" s="970"/>
      <c r="CB29" s="970"/>
      <c r="CC29" s="970"/>
    </row>
    <row r="30" spans="1:81" s="268" customFormat="1" ht="18" hidden="1" customHeight="1" thickBot="1" x14ac:dyDescent="0.3">
      <c r="A30" s="1273" t="s">
        <v>1379</v>
      </c>
      <c r="B30" s="1274"/>
      <c r="C30" s="1275"/>
      <c r="D30" s="1007" t="s">
        <v>1377</v>
      </c>
      <c r="E30" s="283" t="s">
        <v>1380</v>
      </c>
      <c r="F30" s="1016"/>
      <c r="G30" s="990"/>
      <c r="H30" s="1008"/>
      <c r="I30" s="1041"/>
      <c r="J30" s="1047"/>
      <c r="K30" s="968"/>
      <c r="P30" s="969"/>
      <c r="Q30" s="970"/>
      <c r="R30" s="970"/>
      <c r="S30" s="970"/>
      <c r="T30" s="970"/>
      <c r="U30" s="970"/>
      <c r="V30" s="970"/>
      <c r="W30" s="970"/>
      <c r="X30" s="970"/>
      <c r="Y30" s="970"/>
      <c r="Z30" s="970"/>
      <c r="AA30" s="970"/>
      <c r="AB30" s="970"/>
      <c r="AC30" s="970"/>
      <c r="AD30" s="970"/>
      <c r="AE30" s="970"/>
      <c r="AF30" s="970"/>
      <c r="AG30" s="970"/>
      <c r="AH30" s="970"/>
      <c r="AI30" s="970"/>
      <c r="AJ30" s="970"/>
      <c r="AK30" s="970"/>
      <c r="AL30" s="970"/>
      <c r="AM30" s="970"/>
      <c r="AN30" s="970"/>
      <c r="AO30" s="970"/>
      <c r="AP30" s="970"/>
      <c r="AQ30" s="970"/>
      <c r="AR30" s="970"/>
      <c r="AS30" s="970"/>
      <c r="AT30" s="970"/>
      <c r="AU30" s="970"/>
      <c r="AV30" s="970"/>
      <c r="AW30" s="970"/>
      <c r="AX30" s="970"/>
      <c r="AY30" s="970"/>
      <c r="AZ30" s="970"/>
      <c r="BA30" s="970"/>
      <c r="BB30" s="970"/>
      <c r="BC30" s="970"/>
      <c r="BD30" s="970"/>
      <c r="BE30" s="970"/>
      <c r="BF30" s="970"/>
      <c r="BG30" s="970"/>
      <c r="BH30" s="970"/>
      <c r="BI30" s="970"/>
      <c r="BJ30" s="970"/>
      <c r="BK30" s="970"/>
      <c r="BL30" s="970"/>
      <c r="BM30" s="970"/>
      <c r="BN30" s="970"/>
      <c r="BO30" s="970"/>
      <c r="BP30" s="970"/>
      <c r="BQ30" s="970"/>
      <c r="BR30" s="970"/>
      <c r="BS30" s="970"/>
      <c r="BT30" s="970"/>
      <c r="BU30" s="970"/>
      <c r="BV30" s="970"/>
      <c r="BW30" s="970"/>
      <c r="BX30" s="970"/>
      <c r="BY30" s="970"/>
      <c r="BZ30" s="970"/>
      <c r="CA30" s="970"/>
      <c r="CB30" s="970"/>
      <c r="CC30" s="970"/>
    </row>
    <row r="31" spans="1:81" s="268" customFormat="1" ht="57.75" hidden="1" customHeight="1" thickBot="1" x14ac:dyDescent="0.3">
      <c r="A31" s="1288" t="s">
        <v>1054</v>
      </c>
      <c r="B31" s="1289"/>
      <c r="C31" s="1290"/>
      <c r="D31" s="992" t="str">
        <f>IF(Import!L253=1,"Yes",IF(Import!L253=2,"No",IF(Import!L253=3,"N/A",IF(Import!L253=0,"This questions must be answered"))))</f>
        <v>This questions must be answered</v>
      </c>
      <c r="E31" s="1018"/>
      <c r="F31" s="1005" t="str">
        <f>D31</f>
        <v>This questions must be answered</v>
      </c>
      <c r="G31" s="990"/>
      <c r="H31" s="1027" t="s">
        <v>1390</v>
      </c>
      <c r="I31" s="1041" t="s">
        <v>1055</v>
      </c>
      <c r="J31" s="1042"/>
      <c r="K31" s="968"/>
      <c r="P31" s="969"/>
      <c r="Q31" s="970"/>
      <c r="R31" s="970"/>
      <c r="S31" s="970"/>
      <c r="T31" s="970"/>
      <c r="U31" s="970"/>
      <c r="V31" s="970"/>
      <c r="W31" s="970"/>
      <c r="X31" s="970"/>
      <c r="Y31" s="970"/>
      <c r="Z31" s="970"/>
      <c r="AA31" s="970"/>
      <c r="AB31" s="970"/>
      <c r="AC31" s="970"/>
      <c r="AD31" s="970"/>
      <c r="AE31" s="970"/>
      <c r="AF31" s="970"/>
      <c r="AG31" s="970"/>
      <c r="AH31" s="970"/>
      <c r="AI31" s="970"/>
      <c r="AJ31" s="970"/>
      <c r="AK31" s="970"/>
      <c r="AL31" s="970"/>
      <c r="AM31" s="970"/>
      <c r="AN31" s="970"/>
      <c r="AO31" s="970"/>
      <c r="AP31" s="970"/>
      <c r="AQ31" s="970"/>
      <c r="AR31" s="970"/>
      <c r="AS31" s="970"/>
      <c r="AT31" s="970"/>
      <c r="AU31" s="970"/>
      <c r="AV31" s="970"/>
      <c r="AW31" s="970"/>
      <c r="AX31" s="970"/>
      <c r="AY31" s="970"/>
      <c r="AZ31" s="970"/>
      <c r="BA31" s="970"/>
      <c r="BB31" s="970"/>
      <c r="BC31" s="970"/>
      <c r="BD31" s="970"/>
      <c r="BE31" s="970"/>
      <c r="BF31" s="970"/>
      <c r="BG31" s="970"/>
      <c r="BH31" s="970"/>
      <c r="BI31" s="970"/>
      <c r="BJ31" s="970"/>
      <c r="BK31" s="970"/>
      <c r="BL31" s="970"/>
      <c r="BM31" s="970"/>
      <c r="BN31" s="970"/>
      <c r="BO31" s="970"/>
      <c r="BP31" s="970"/>
      <c r="BQ31" s="970"/>
      <c r="BR31" s="970"/>
      <c r="BS31" s="970"/>
      <c r="BT31" s="970"/>
      <c r="BU31" s="970"/>
      <c r="BV31" s="970"/>
      <c r="BW31" s="970"/>
      <c r="BX31" s="970"/>
      <c r="BY31" s="970"/>
      <c r="BZ31" s="970"/>
      <c r="CA31" s="970"/>
      <c r="CB31" s="970"/>
      <c r="CC31" s="970"/>
    </row>
    <row r="32" spans="1:81" s="268" customFormat="1" ht="18" hidden="1" customHeight="1" thickBot="1" x14ac:dyDescent="0.3">
      <c r="A32" s="1250"/>
      <c r="B32" s="1251"/>
      <c r="C32" s="1252"/>
      <c r="D32" s="1007" t="s">
        <v>1377</v>
      </c>
      <c r="E32" s="283" t="s">
        <v>1380</v>
      </c>
      <c r="F32" s="1008"/>
      <c r="G32" s="990"/>
      <c r="H32" s="1036"/>
      <c r="I32" s="1041"/>
      <c r="J32" s="1047"/>
      <c r="K32" s="968"/>
      <c r="P32" s="969"/>
      <c r="Q32" s="970"/>
      <c r="R32" s="970"/>
      <c r="S32" s="970"/>
      <c r="T32" s="970"/>
      <c r="U32" s="970"/>
      <c r="V32" s="970"/>
      <c r="W32" s="970"/>
      <c r="X32" s="970"/>
      <c r="Y32" s="970"/>
      <c r="Z32" s="970"/>
      <c r="AA32" s="970"/>
      <c r="AB32" s="970"/>
      <c r="AC32" s="970"/>
      <c r="AD32" s="970"/>
      <c r="AE32" s="970"/>
      <c r="AF32" s="970"/>
      <c r="AG32" s="970"/>
      <c r="AH32" s="970"/>
      <c r="AI32" s="970"/>
      <c r="AJ32" s="970"/>
      <c r="AK32" s="970"/>
      <c r="AL32" s="970"/>
      <c r="AM32" s="970"/>
      <c r="AN32" s="970"/>
      <c r="AO32" s="970"/>
      <c r="AP32" s="970"/>
      <c r="AQ32" s="970"/>
      <c r="AR32" s="970"/>
      <c r="AS32" s="970"/>
      <c r="AT32" s="970"/>
      <c r="AU32" s="970"/>
      <c r="AV32" s="970"/>
      <c r="AW32" s="970"/>
      <c r="AX32" s="970"/>
      <c r="AY32" s="970"/>
      <c r="AZ32" s="970"/>
      <c r="BA32" s="970"/>
      <c r="BB32" s="970"/>
      <c r="BC32" s="970"/>
      <c r="BD32" s="970"/>
      <c r="BE32" s="970"/>
      <c r="BF32" s="970"/>
      <c r="BG32" s="970"/>
      <c r="BH32" s="970"/>
      <c r="BI32" s="970"/>
      <c r="BJ32" s="970"/>
      <c r="BK32" s="970"/>
      <c r="BL32" s="970"/>
      <c r="BM32" s="970"/>
      <c r="BN32" s="970"/>
      <c r="BO32" s="970"/>
      <c r="BP32" s="970"/>
      <c r="BQ32" s="970"/>
      <c r="BR32" s="970"/>
      <c r="BS32" s="970"/>
      <c r="BT32" s="970"/>
      <c r="BU32" s="970"/>
      <c r="BV32" s="970"/>
      <c r="BW32" s="970"/>
      <c r="BX32" s="970"/>
      <c r="BY32" s="970"/>
      <c r="BZ32" s="970"/>
      <c r="CA32" s="970"/>
      <c r="CB32" s="970"/>
      <c r="CC32" s="970"/>
    </row>
    <row r="33" spans="1:81" s="268" customFormat="1" ht="67.5" hidden="1" customHeight="1" thickBot="1" x14ac:dyDescent="0.3">
      <c r="A33" s="1288" t="s">
        <v>1306</v>
      </c>
      <c r="B33" s="1289"/>
      <c r="C33" s="1290"/>
      <c r="D33" s="1005" t="b">
        <f>IF(Import!L193=1,"Yes",IF(Import!L193=2,"No",IF(Import!L193=3,"N/A")))</f>
        <v>0</v>
      </c>
      <c r="E33" s="1018"/>
      <c r="F33" s="1005" t="b">
        <f>+D33</f>
        <v>0</v>
      </c>
      <c r="G33" s="990"/>
      <c r="H33" s="1027" t="s">
        <v>1391</v>
      </c>
      <c r="I33" s="1041" t="s">
        <v>845</v>
      </c>
      <c r="J33" s="1042"/>
      <c r="K33" s="968"/>
      <c r="P33" s="969"/>
      <c r="Q33" s="970"/>
      <c r="R33" s="970"/>
      <c r="S33" s="970"/>
      <c r="T33" s="970"/>
      <c r="U33" s="970"/>
      <c r="V33" s="970"/>
      <c r="W33" s="970"/>
      <c r="X33" s="970"/>
      <c r="Y33" s="970"/>
      <c r="Z33" s="970"/>
      <c r="AA33" s="970"/>
      <c r="AB33" s="970"/>
      <c r="AC33" s="970"/>
      <c r="AD33" s="970"/>
      <c r="AE33" s="970"/>
      <c r="AF33" s="970"/>
      <c r="AG33" s="970"/>
      <c r="AH33" s="970"/>
      <c r="AI33" s="970"/>
      <c r="AJ33" s="970"/>
      <c r="AK33" s="970"/>
      <c r="AL33" s="970"/>
      <c r="AM33" s="970"/>
      <c r="AN33" s="970"/>
      <c r="AO33" s="970"/>
      <c r="AP33" s="970"/>
      <c r="AQ33" s="970"/>
      <c r="AR33" s="970"/>
      <c r="AS33" s="970"/>
      <c r="AT33" s="970"/>
      <c r="AU33" s="970"/>
      <c r="AV33" s="970"/>
      <c r="AW33" s="970"/>
      <c r="AX33" s="970"/>
      <c r="AY33" s="970"/>
      <c r="AZ33" s="970"/>
      <c r="BA33" s="970"/>
      <c r="BB33" s="970"/>
      <c r="BC33" s="970"/>
      <c r="BD33" s="970"/>
      <c r="BE33" s="970"/>
      <c r="BF33" s="970"/>
      <c r="BG33" s="970"/>
      <c r="BH33" s="970"/>
      <c r="BI33" s="970"/>
      <c r="BJ33" s="970"/>
      <c r="BK33" s="970"/>
      <c r="BL33" s="970"/>
      <c r="BM33" s="970"/>
      <c r="BN33" s="970"/>
      <c r="BO33" s="970"/>
      <c r="BP33" s="970"/>
      <c r="BQ33" s="970"/>
      <c r="BR33" s="970"/>
      <c r="BS33" s="970"/>
      <c r="BT33" s="970"/>
      <c r="BU33" s="970"/>
      <c r="BV33" s="970"/>
      <c r="BW33" s="970"/>
      <c r="BX33" s="970"/>
      <c r="BY33" s="970"/>
      <c r="BZ33" s="970"/>
      <c r="CA33" s="970"/>
      <c r="CB33" s="970"/>
      <c r="CC33" s="970"/>
    </row>
    <row r="34" spans="1:81" s="268" customFormat="1" ht="18" customHeight="1" thickBot="1" x14ac:dyDescent="0.3">
      <c r="A34" s="1250"/>
      <c r="B34" s="1251"/>
      <c r="C34" s="1252"/>
      <c r="D34" s="1007" t="s">
        <v>1377</v>
      </c>
      <c r="E34" s="283" t="s">
        <v>1380</v>
      </c>
      <c r="F34" s="1008"/>
      <c r="G34" s="990"/>
      <c r="H34" s="1036"/>
      <c r="I34" s="1044"/>
      <c r="J34" s="1047"/>
      <c r="K34" s="968"/>
      <c r="P34" s="969"/>
      <c r="Q34" s="970"/>
      <c r="R34" s="970"/>
      <c r="S34" s="970"/>
      <c r="T34" s="970"/>
      <c r="U34" s="970"/>
      <c r="V34" s="970"/>
      <c r="W34" s="970"/>
      <c r="X34" s="970"/>
      <c r="Y34" s="970"/>
      <c r="Z34" s="970"/>
      <c r="AA34" s="970"/>
      <c r="AB34" s="970"/>
      <c r="AC34" s="970"/>
      <c r="AD34" s="970"/>
      <c r="AE34" s="970"/>
      <c r="AF34" s="970"/>
      <c r="AG34" s="970"/>
      <c r="AH34" s="970"/>
      <c r="AI34" s="970"/>
      <c r="AJ34" s="970"/>
      <c r="AK34" s="970"/>
      <c r="AL34" s="970"/>
      <c r="AM34" s="970"/>
      <c r="AN34" s="970"/>
      <c r="AO34" s="970"/>
      <c r="AP34" s="970"/>
      <c r="AQ34" s="970"/>
      <c r="AR34" s="970"/>
      <c r="AS34" s="970"/>
      <c r="AT34" s="970"/>
      <c r="AU34" s="970"/>
      <c r="AV34" s="970"/>
      <c r="AW34" s="970"/>
      <c r="AX34" s="970"/>
      <c r="AY34" s="970"/>
      <c r="AZ34" s="970"/>
      <c r="BA34" s="970"/>
      <c r="BB34" s="970"/>
      <c r="BC34" s="970"/>
      <c r="BD34" s="970"/>
      <c r="BE34" s="970"/>
      <c r="BF34" s="970"/>
      <c r="BG34" s="970"/>
      <c r="BH34" s="970"/>
      <c r="BI34" s="970"/>
      <c r="BJ34" s="970"/>
      <c r="BK34" s="970"/>
      <c r="BL34" s="970"/>
      <c r="BM34" s="970"/>
      <c r="BN34" s="970"/>
      <c r="BO34" s="970"/>
      <c r="BP34" s="970"/>
      <c r="BQ34" s="970"/>
      <c r="BR34" s="970"/>
      <c r="BS34" s="970"/>
      <c r="BT34" s="970"/>
      <c r="BU34" s="970"/>
      <c r="BV34" s="970"/>
      <c r="BW34" s="970"/>
      <c r="BX34" s="970"/>
      <c r="BY34" s="970"/>
      <c r="BZ34" s="970"/>
      <c r="CA34" s="970"/>
      <c r="CB34" s="970"/>
      <c r="CC34" s="970"/>
    </row>
    <row r="35" spans="1:81" s="268" customFormat="1" ht="68.25" customHeight="1" thickBot="1" x14ac:dyDescent="0.3">
      <c r="A35" s="1288" t="s">
        <v>784</v>
      </c>
      <c r="B35" s="1289"/>
      <c r="C35" s="1290"/>
      <c r="D35" s="1019" t="e">
        <f>+M35+N35+L35+Import!L250+Import!L251+Import!L254</f>
        <v>#VALUE!</v>
      </c>
      <c r="E35" s="1018"/>
      <c r="F35" s="1020"/>
      <c r="G35" s="990"/>
      <c r="H35" s="1027" t="s">
        <v>1392</v>
      </c>
      <c r="I35" s="1041" t="s">
        <v>805</v>
      </c>
      <c r="J35" s="1042"/>
      <c r="K35" s="968"/>
      <c r="L35" s="988">
        <f>IF(Import!L247=1,1,0)</f>
        <v>0</v>
      </c>
      <c r="M35" s="988">
        <f>IF(Import!L248=1,1,0)</f>
        <v>0</v>
      </c>
      <c r="N35" s="988">
        <f>IF(Import!L249=1,1,0)</f>
        <v>0</v>
      </c>
      <c r="P35" s="969"/>
      <c r="Q35" s="970"/>
      <c r="R35" s="970"/>
      <c r="S35" s="970"/>
      <c r="T35" s="970"/>
      <c r="U35" s="970"/>
      <c r="V35" s="970"/>
      <c r="W35" s="970"/>
      <c r="X35" s="970"/>
      <c r="Y35" s="970"/>
      <c r="Z35" s="970"/>
      <c r="AA35" s="970"/>
      <c r="AB35" s="970"/>
      <c r="AC35" s="970"/>
      <c r="AD35" s="970"/>
      <c r="AE35" s="970"/>
      <c r="AF35" s="970"/>
      <c r="AG35" s="970"/>
      <c r="AH35" s="970"/>
      <c r="AI35" s="970"/>
      <c r="AJ35" s="970"/>
      <c r="AK35" s="970"/>
      <c r="AL35" s="970"/>
      <c r="AM35" s="970"/>
      <c r="AN35" s="970"/>
      <c r="AO35" s="970"/>
      <c r="AP35" s="970"/>
      <c r="AQ35" s="970"/>
      <c r="AR35" s="970"/>
      <c r="AS35" s="970"/>
      <c r="AT35" s="970"/>
      <c r="AU35" s="970"/>
      <c r="AV35" s="970"/>
      <c r="AW35" s="970"/>
      <c r="AX35" s="970"/>
      <c r="AY35" s="970"/>
      <c r="AZ35" s="970"/>
      <c r="BA35" s="970"/>
      <c r="BB35" s="970"/>
      <c r="BC35" s="970"/>
      <c r="BD35" s="970"/>
      <c r="BE35" s="970"/>
      <c r="BF35" s="970"/>
      <c r="BG35" s="970"/>
      <c r="BH35" s="970"/>
      <c r="BI35" s="970"/>
      <c r="BJ35" s="970"/>
      <c r="BK35" s="970"/>
      <c r="BL35" s="970"/>
      <c r="BM35" s="970"/>
      <c r="BN35" s="970"/>
      <c r="BO35" s="970"/>
      <c r="BP35" s="970"/>
      <c r="BQ35" s="970"/>
      <c r="BR35" s="970"/>
      <c r="BS35" s="970"/>
      <c r="BT35" s="970"/>
      <c r="BU35" s="970"/>
      <c r="BV35" s="970"/>
      <c r="BW35" s="970"/>
      <c r="BX35" s="970"/>
      <c r="BY35" s="970"/>
      <c r="BZ35" s="970"/>
      <c r="CA35" s="970"/>
      <c r="CB35" s="970"/>
      <c r="CC35" s="970"/>
    </row>
    <row r="36" spans="1:81" s="971" customFormat="1" x14ac:dyDescent="0.25">
      <c r="A36" s="1021"/>
      <c r="B36" s="1021"/>
      <c r="C36" s="1021"/>
      <c r="D36" s="1021"/>
      <c r="E36" s="1021"/>
      <c r="F36" s="1021"/>
      <c r="G36" s="1022"/>
      <c r="H36" s="1021"/>
      <c r="I36" s="1025"/>
      <c r="J36" s="1025"/>
      <c r="L36" s="268"/>
      <c r="M36" s="268"/>
      <c r="N36" s="268"/>
      <c r="O36" s="268"/>
      <c r="P36" s="969"/>
      <c r="Q36" s="970"/>
      <c r="R36" s="970"/>
      <c r="S36" s="970"/>
      <c r="T36" s="970"/>
      <c r="U36" s="970"/>
      <c r="V36" s="970"/>
      <c r="W36" s="970"/>
      <c r="X36" s="970"/>
      <c r="Y36" s="970"/>
      <c r="Z36" s="970"/>
      <c r="AA36" s="970"/>
      <c r="AB36" s="970"/>
      <c r="AC36" s="970"/>
      <c r="AD36" s="970"/>
      <c r="AE36" s="970"/>
      <c r="AF36" s="970"/>
      <c r="AG36" s="970"/>
      <c r="AH36" s="970"/>
      <c r="AI36" s="970"/>
      <c r="AJ36" s="970"/>
      <c r="AK36" s="970"/>
      <c r="AL36" s="970"/>
      <c r="AM36" s="970"/>
      <c r="AN36" s="970"/>
      <c r="AO36" s="970"/>
      <c r="AP36" s="970"/>
      <c r="AQ36" s="970"/>
      <c r="AR36" s="970"/>
      <c r="AS36" s="970"/>
      <c r="AT36" s="970"/>
      <c r="AU36" s="970"/>
      <c r="AV36" s="970"/>
      <c r="AW36" s="970"/>
      <c r="AX36" s="970"/>
      <c r="AY36" s="970"/>
      <c r="AZ36" s="970"/>
      <c r="BA36" s="970"/>
      <c r="BB36" s="970"/>
      <c r="BC36" s="970"/>
      <c r="BD36" s="970"/>
      <c r="BE36" s="970"/>
      <c r="BF36" s="970"/>
      <c r="BG36" s="970"/>
      <c r="BH36" s="970"/>
      <c r="BI36" s="970"/>
      <c r="BJ36" s="970"/>
      <c r="BK36" s="970"/>
      <c r="BL36" s="970"/>
      <c r="BM36" s="970"/>
      <c r="BN36" s="970"/>
      <c r="BO36" s="970"/>
      <c r="BP36" s="970"/>
      <c r="BQ36" s="970"/>
      <c r="BR36" s="970"/>
      <c r="BS36" s="970"/>
      <c r="BT36" s="970"/>
      <c r="BU36" s="970"/>
      <c r="BV36" s="970"/>
      <c r="BW36" s="970"/>
      <c r="BX36" s="970"/>
      <c r="BY36" s="970"/>
      <c r="BZ36" s="970"/>
      <c r="CA36" s="970"/>
      <c r="CB36" s="970"/>
      <c r="CC36" s="970"/>
    </row>
  </sheetData>
  <mergeCells count="37">
    <mergeCell ref="A34:C34"/>
    <mergeCell ref="A35:C35"/>
    <mergeCell ref="A27:C27"/>
    <mergeCell ref="A28:C28"/>
    <mergeCell ref="A29:C29"/>
    <mergeCell ref="A30:C30"/>
    <mergeCell ref="A31:C31"/>
    <mergeCell ref="I1:J1"/>
    <mergeCell ref="I2:I5"/>
    <mergeCell ref="J2:J5"/>
    <mergeCell ref="J6:J8"/>
    <mergeCell ref="A33:C33"/>
    <mergeCell ref="A32:C32"/>
    <mergeCell ref="A21:C21"/>
    <mergeCell ref="A22:C22"/>
    <mergeCell ref="A23:C23"/>
    <mergeCell ref="A24:C24"/>
    <mergeCell ref="A25:C25"/>
    <mergeCell ref="A26:C26"/>
    <mergeCell ref="A20:C20"/>
    <mergeCell ref="A6:F7"/>
    <mergeCell ref="H6:H8"/>
    <mergeCell ref="A8:D8"/>
    <mergeCell ref="A18:C18"/>
    <mergeCell ref="A19:C19"/>
    <mergeCell ref="A1:H1"/>
    <mergeCell ref="A2:H2"/>
    <mergeCell ref="G3:H3"/>
    <mergeCell ref="B4:D4"/>
    <mergeCell ref="E4:F5"/>
    <mergeCell ref="H4:H5"/>
    <mergeCell ref="B5:D5"/>
    <mergeCell ref="A9:D9"/>
    <mergeCell ref="A10:D10"/>
    <mergeCell ref="A11:D11"/>
    <mergeCell ref="A16:C16"/>
    <mergeCell ref="A17:C17"/>
  </mergeCells>
  <conditionalFormatting sqref="F17">
    <cfRule type="cellIs" dxfId="26" priority="21" operator="equal">
      <formula>"No"</formula>
    </cfRule>
  </conditionalFormatting>
  <conditionalFormatting sqref="F19">
    <cfRule type="cellIs" dxfId="25" priority="20" operator="lessThan">
      <formula>-0.03</formula>
    </cfRule>
  </conditionalFormatting>
  <conditionalFormatting sqref="F25">
    <cfRule type="cellIs" dxfId="24" priority="12" operator="equal">
      <formula>"Yes"</formula>
    </cfRule>
  </conditionalFormatting>
  <conditionalFormatting sqref="F27">
    <cfRule type="cellIs" dxfId="23" priority="19" operator="equal">
      <formula>"Yes"</formula>
    </cfRule>
  </conditionalFormatting>
  <conditionalFormatting sqref="F29">
    <cfRule type="cellIs" dxfId="22" priority="18" operator="equal">
      <formula>"Yes"</formula>
    </cfRule>
  </conditionalFormatting>
  <conditionalFormatting sqref="F31">
    <cfRule type="cellIs" dxfId="21" priority="17" operator="equal">
      <formula>"Yes"</formula>
    </cfRule>
  </conditionalFormatting>
  <conditionalFormatting sqref="F23">
    <cfRule type="cellIs" dxfId="20" priority="16" operator="equal">
      <formula>"No"</formula>
    </cfRule>
  </conditionalFormatting>
  <conditionalFormatting sqref="F33">
    <cfRule type="cellIs" dxfId="19" priority="11" operator="equal">
      <formula>"No"</formula>
    </cfRule>
  </conditionalFormatting>
  <conditionalFormatting sqref="F21">
    <cfRule type="cellIs" dxfId="18" priority="10" operator="equal">
      <formula>"Decrease"</formula>
    </cfRule>
  </conditionalFormatting>
  <conditionalFormatting sqref="F35">
    <cfRule type="expression" dxfId="17" priority="9">
      <formula>$D$35&gt;0</formula>
    </cfRule>
  </conditionalFormatting>
  <conditionalFormatting sqref="F9">
    <cfRule type="cellIs" dxfId="16" priority="2" operator="lessThan">
      <formula>$L$9&lt;0%</formula>
    </cfRule>
    <cfRule type="expression" dxfId="15" priority="117">
      <formula>"$L$9&lt;0%"</formula>
    </cfRule>
  </conditionalFormatting>
  <conditionalFormatting sqref="F14">
    <cfRule type="cellIs" dxfId="14" priority="7" operator="lessThan">
      <formula>1</formula>
    </cfRule>
  </conditionalFormatting>
  <conditionalFormatting sqref="F10">
    <cfRule type="expression" dxfId="13" priority="6">
      <formula>$L$10&lt;0%</formula>
    </cfRule>
  </conditionalFormatting>
  <conditionalFormatting sqref="F11">
    <cfRule type="expression" dxfId="12" priority="4">
      <formula>F$11&lt;8%</formula>
    </cfRule>
  </conditionalFormatting>
  <pageMargins left="0.25" right="0.25" top="0.05" bottom="0.05" header="0.3" footer="0.3"/>
  <pageSetup scale="65" fitToHeight="0" orientation="landscape" r:id="rId1"/>
  <rowBreaks count="1" manualBreakCount="1">
    <brk id="15"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18" activePane="bottomLeft" state="frozen"/>
      <selection activeCell="A2" sqref="A2:H2"/>
      <selection pane="bottomLeft" activeCell="A2" sqref="A2:H2"/>
    </sheetView>
  </sheetViews>
  <sheetFormatPr defaultColWidth="9.140625" defaultRowHeight="15" x14ac:dyDescent="0.25"/>
  <cols>
    <col min="1" max="1" width="44.5703125" style="507" customWidth="1"/>
    <col min="2" max="2" width="17.28515625" style="507" customWidth="1"/>
    <col min="3" max="3" width="17.85546875" style="507" customWidth="1"/>
    <col min="4" max="4" width="20.85546875" style="507" customWidth="1"/>
    <col min="5" max="5" width="16.140625" style="507" customWidth="1"/>
    <col min="6" max="6" width="14.85546875" style="507" customWidth="1"/>
    <col min="7" max="7" width="46.140625" style="514" customWidth="1"/>
    <col min="8" max="8" width="77.5703125" style="507" customWidth="1"/>
    <col min="9" max="9" width="34" style="507" customWidth="1"/>
    <col min="10" max="10" width="9.140625" style="507" customWidth="1"/>
    <col min="11" max="11" width="36.85546875" style="507" customWidth="1"/>
    <col min="12" max="12" width="15" style="507" customWidth="1"/>
    <col min="13" max="13" width="11.85546875" style="507" customWidth="1"/>
    <col min="14" max="24" width="9.140625" style="507" customWidth="1"/>
    <col min="25" max="25" width="9.140625" style="295" customWidth="1"/>
    <col min="26" max="26" width="36.85546875" style="565" hidden="1" customWidth="1"/>
    <col min="27" max="16384" width="9.140625" style="507"/>
  </cols>
  <sheetData>
    <row r="1" spans="1:78" x14ac:dyDescent="0.25">
      <c r="A1" s="508" t="s">
        <v>779</v>
      </c>
      <c r="B1" s="509"/>
      <c r="C1" s="509"/>
      <c r="D1" s="509"/>
      <c r="E1" s="510" t="s">
        <v>780</v>
      </c>
      <c r="F1" s="510">
        <v>2021</v>
      </c>
      <c r="G1" s="1305"/>
      <c r="H1" s="1306"/>
      <c r="I1" s="511"/>
      <c r="Z1" s="558" t="s">
        <v>1058</v>
      </c>
    </row>
    <row r="2" spans="1:78" ht="98.25" customHeight="1" x14ac:dyDescent="0.25">
      <c r="A2" s="512" t="s">
        <v>855</v>
      </c>
      <c r="B2" s="1307" t="str">
        <f>'Unit Data from Audit Worksheet'!D2</f>
        <v>Select Unit Name from Drop Down List</v>
      </c>
      <c r="C2" s="1307"/>
      <c r="D2" s="1307"/>
      <c r="E2" s="1311" t="s">
        <v>1303</v>
      </c>
      <c r="F2" s="1311"/>
      <c r="G2" s="1311"/>
      <c r="H2" s="1308" t="s">
        <v>1065</v>
      </c>
      <c r="I2" s="513"/>
      <c r="J2" s="514"/>
      <c r="K2" s="515"/>
      <c r="Z2" s="160"/>
    </row>
    <row r="3" spans="1:78" ht="38.25" customHeight="1" x14ac:dyDescent="0.25">
      <c r="A3" s="516" t="s">
        <v>781</v>
      </c>
      <c r="B3" s="1310" t="e">
        <f>'Unit Data from Audit Worksheet'!D3</f>
        <v>#N/A</v>
      </c>
      <c r="C3" s="1310"/>
      <c r="D3" s="1310"/>
      <c r="E3" s="1312"/>
      <c r="F3" s="1312"/>
      <c r="G3" s="1312"/>
      <c r="H3" s="1309"/>
      <c r="I3" s="511"/>
      <c r="K3" s="517" t="s">
        <v>820</v>
      </c>
      <c r="Z3" s="160"/>
    </row>
    <row r="4" spans="1:78" ht="106.5" customHeight="1" x14ac:dyDescent="0.25">
      <c r="A4" s="572"/>
      <c r="B4" s="573">
        <v>2019</v>
      </c>
      <c r="C4" s="573">
        <v>2020</v>
      </c>
      <c r="D4" s="573">
        <v>2021</v>
      </c>
      <c r="E4" s="574" t="s">
        <v>1063</v>
      </c>
      <c r="F4" s="573" t="s">
        <v>786</v>
      </c>
      <c r="G4" s="575"/>
      <c r="H4" s="573" t="s">
        <v>782</v>
      </c>
      <c r="I4" s="574" t="s">
        <v>1102</v>
      </c>
      <c r="J4" s="518"/>
      <c r="Z4" s="160"/>
    </row>
    <row r="5" spans="1:78" x14ac:dyDescent="0.25">
      <c r="A5" s="568" t="s">
        <v>461</v>
      </c>
      <c r="B5" s="569"/>
      <c r="C5" s="569"/>
      <c r="D5" s="569"/>
      <c r="E5" s="570"/>
      <c r="F5" s="567"/>
      <c r="G5" s="570"/>
      <c r="H5" s="569"/>
      <c r="I5" s="571"/>
      <c r="J5" s="518"/>
      <c r="K5" s="520">
        <f>+(Import!$L$72+Import!$L$77+Import!$L$74-Import!$L$75-Import!$L$76)</f>
        <v>0</v>
      </c>
      <c r="L5" s="507" t="s">
        <v>864</v>
      </c>
      <c r="Z5" s="560"/>
    </row>
    <row r="6" spans="1:78" ht="143.25" customHeight="1" x14ac:dyDescent="0.25">
      <c r="A6" s="399" t="s">
        <v>607</v>
      </c>
      <c r="B6" s="1140" t="e">
        <f>HLOOKUP($B$3,'2019 Data(H)'!$E$2:$CZ$299,290,FALSE)</f>
        <v>#N/A</v>
      </c>
      <c r="C6" s="395" t="e">
        <f>HLOOKUP($B$2,'2020 Data(H)'!$E$1:$CZ$426,339,FALSE)</f>
        <v>#N/A</v>
      </c>
      <c r="D6" s="395" t="str">
        <f>IFERROR((Import!$L$52+Import!$L$53-Import!$L$57-Import!$L$58-Import!$L$230-Import!$L$62+Import!$L$89)/(Import!$L$72+Import!$L$77+Import!$L$74-Import!$L$75-Import!$L$76),"")</f>
        <v/>
      </c>
      <c r="E6" s="545" t="b">
        <f>IF(K5&gt;10000000,"25% -- Average of similar units is 46%",IF(K5&gt;999999,"34% -- Average of similar units is 63%",IF(K5&gt;99999,"71% -- Average of similar units is 132%",IF(K5&gt;1,"100 %-- Average of similar units is 260%"))))</f>
        <v>0</v>
      </c>
      <c r="F6" s="942"/>
      <c r="G6" s="951" t="s">
        <v>1264</v>
      </c>
      <c r="H6" s="931" t="s">
        <v>1304</v>
      </c>
      <c r="I6" s="544"/>
      <c r="J6" s="518"/>
      <c r="K6" s="521" t="b">
        <f>IF($K$5&gt;10000000,"25%",IF($K$5&gt;999999,"34%",IF($K$5&gt;99999,"71%",IF($K$5&gt;1,"100%"))))</f>
        <v>0</v>
      </c>
      <c r="L6" s="522" t="e">
        <f>+D6-K6</f>
        <v>#VALUE!</v>
      </c>
      <c r="Z6" s="160" t="s">
        <v>1059</v>
      </c>
    </row>
    <row r="7" spans="1:78" ht="22.5" customHeight="1" x14ac:dyDescent="0.25">
      <c r="A7" s="399"/>
      <c r="B7" s="397"/>
      <c r="C7" s="397"/>
      <c r="D7" s="397"/>
      <c r="E7" s="545"/>
      <c r="F7" s="398"/>
      <c r="G7" s="543"/>
      <c r="H7" s="541"/>
      <c r="I7" s="960"/>
      <c r="J7" s="518"/>
      <c r="K7" s="546"/>
      <c r="L7" s="522"/>
      <c r="Z7" s="160"/>
    </row>
    <row r="8" spans="1:78" ht="137.25" customHeight="1" x14ac:dyDescent="0.25">
      <c r="A8" s="940" t="s">
        <v>1310</v>
      </c>
      <c r="B8" s="1138" t="e">
        <f>HLOOKUP($B$3,'2019 Data(H)'!$E$2:$CZ$299,290,FALSE)</f>
        <v>#N/A</v>
      </c>
      <c r="C8" s="941" t="e">
        <f>HLOOKUP($B$2,'2020 Data(H)'!$E$1:$CZ$426,339,FALSE)</f>
        <v>#N/A</v>
      </c>
      <c r="D8" s="941" t="str">
        <f>IFERROR((Import!$L$52+Import!$L$53-Import!$L$57-Import!$L$58-Import!$L$230-Import!$L$62+Import!$L$89)/(Import!$L$72+Import!$L$77+Import!$L$74-Import!$L$75-Import!$L$76),"")</f>
        <v/>
      </c>
      <c r="E8" s="957" t="str">
        <f>IF($K$5&gt;99999999,"16%--Median of simiar units is 32%","20%--Median of similar units is 39%")</f>
        <v>20%--Median of similar units is 39%</v>
      </c>
      <c r="F8" s="942"/>
      <c r="G8" s="952" t="s">
        <v>787</v>
      </c>
      <c r="H8" s="953" t="s">
        <v>1030</v>
      </c>
      <c r="I8" s="943"/>
      <c r="J8" s="518"/>
      <c r="K8" s="561">
        <f>IF($K$5&gt;99999999,16%,20%)</f>
        <v>0.2</v>
      </c>
      <c r="L8" s="522" t="e">
        <f>+D8-K8</f>
        <v>#VALUE!</v>
      </c>
      <c r="Z8" s="160" t="s">
        <v>1265</v>
      </c>
    </row>
    <row r="9" spans="1:78" ht="120" customHeight="1" x14ac:dyDescent="0.25">
      <c r="A9" s="939" t="s">
        <v>1312</v>
      </c>
      <c r="B9" s="1138" t="e">
        <f>HLOOKUP($B$3,'2019 Data(H)'!$E$2:$CZ$299,290,FALSE)</f>
        <v>#N/A</v>
      </c>
      <c r="C9" s="941" t="e">
        <f>HLOOKUP($B$2,'2020 Data(H)'!$E$1:$CZ$426,339,FALSE)</f>
        <v>#N/A</v>
      </c>
      <c r="D9" s="941" t="str">
        <f>IFERROR((Import!$L$52+Import!$L$53-Import!$L$57-Import!$L$58-Import!$L$230-Import!$L$62+Import!$L$89)/(Import!$L$72+Import!$L$77+Import!$L$74-Import!$L$75-Import!$L$76),"")</f>
        <v/>
      </c>
      <c r="E9" s="957">
        <v>0.08</v>
      </c>
      <c r="F9" s="942" t="str">
        <f>+K9</f>
        <v/>
      </c>
      <c r="G9" s="952" t="s">
        <v>787</v>
      </c>
      <c r="H9" s="953" t="s">
        <v>1308</v>
      </c>
      <c r="I9" s="540"/>
      <c r="J9" s="518"/>
      <c r="K9" s="941" t="str">
        <f>+IF(D9&gt;7.9999%,D9,"Less than 8%")</f>
        <v/>
      </c>
      <c r="L9" s="522"/>
      <c r="Z9" s="160"/>
    </row>
    <row r="10" spans="1:78" ht="152.25" customHeight="1" thickBot="1" x14ac:dyDescent="0.3">
      <c r="A10" s="939" t="s">
        <v>813</v>
      </c>
      <c r="B10" s="572"/>
      <c r="C10" s="572"/>
      <c r="D10" s="944">
        <f>+Import!L65</f>
        <v>0</v>
      </c>
      <c r="E10" s="945"/>
      <c r="F10" s="944">
        <f>+D10</f>
        <v>0</v>
      </c>
      <c r="G10" s="551" t="s">
        <v>814</v>
      </c>
      <c r="H10" s="551" t="s">
        <v>1032</v>
      </c>
      <c r="I10" s="539"/>
      <c r="J10" s="518"/>
      <c r="Z10" s="160" t="s">
        <v>1266</v>
      </c>
    </row>
    <row r="11" spans="1:78" ht="78" customHeight="1" x14ac:dyDescent="0.25">
      <c r="A11" s="559" t="s">
        <v>463</v>
      </c>
      <c r="B11" s="288">
        <f>+B4</f>
        <v>2019</v>
      </c>
      <c r="C11" s="288">
        <f>+C4</f>
        <v>2020</v>
      </c>
      <c r="D11" s="288">
        <f>+D4</f>
        <v>2021</v>
      </c>
      <c r="E11" s="526"/>
      <c r="F11" s="527"/>
      <c r="G11" s="1313" t="s">
        <v>1064</v>
      </c>
      <c r="H11" s="1314"/>
      <c r="I11" s="542"/>
      <c r="J11" s="518"/>
      <c r="K11" s="1141" t="e">
        <f>HLOOKUP($B$3,'2019 Data(H)'!$E$2:$CZ$305,244,FALSE)</f>
        <v>#N/A</v>
      </c>
      <c r="L11" s="528" t="e">
        <f>HLOOKUP(B3,'2020 Data(H)'!E2:CZ350,244,FALSE)</f>
        <v>#N/A</v>
      </c>
      <c r="M11" s="528" t="e">
        <f>Import!L268</f>
        <v>#N/A</v>
      </c>
      <c r="N11" s="529"/>
      <c r="O11" s="529"/>
      <c r="P11" s="529"/>
      <c r="Q11" s="529"/>
      <c r="R11" s="529"/>
      <c r="S11" s="529"/>
      <c r="T11" s="529"/>
      <c r="U11" s="529"/>
      <c r="V11" s="529"/>
      <c r="W11" s="529"/>
      <c r="X11" s="529"/>
      <c r="Z11" s="160"/>
      <c r="AA11" s="529"/>
      <c r="AB11" s="529"/>
      <c r="AC11" s="529"/>
      <c r="AD11" s="529"/>
      <c r="AE11" s="529"/>
      <c r="AF11" s="529"/>
      <c r="AG11" s="529"/>
      <c r="AH11" s="529"/>
      <c r="AI11" s="529"/>
      <c r="AJ11" s="529"/>
      <c r="AK11" s="529"/>
      <c r="AL11" s="529"/>
      <c r="AM11" s="529"/>
      <c r="AN11" s="529"/>
      <c r="AO11" s="529"/>
      <c r="AP11" s="529"/>
      <c r="AQ11" s="529"/>
      <c r="AR11" s="529"/>
      <c r="AS11" s="529"/>
      <c r="AT11" s="529"/>
      <c r="AU11" s="529"/>
      <c r="AV11" s="529"/>
      <c r="AW11" s="529"/>
      <c r="AX11" s="529"/>
      <c r="AY11" s="529"/>
      <c r="AZ11" s="529"/>
      <c r="BA11" s="529"/>
      <c r="BB11" s="529"/>
      <c r="BC11" s="529"/>
      <c r="BD11" s="529"/>
      <c r="BE11" s="529"/>
      <c r="BF11" s="529"/>
      <c r="BG11" s="529"/>
      <c r="BH11" s="529"/>
      <c r="BI11" s="529"/>
      <c r="BJ11" s="529"/>
      <c r="BK11" s="529"/>
      <c r="BL11" s="529"/>
      <c r="BM11" s="529"/>
      <c r="BN11" s="529"/>
      <c r="BO11" s="529"/>
      <c r="BP11" s="529"/>
      <c r="BQ11" s="529"/>
      <c r="BR11" s="529"/>
      <c r="BS11" s="529"/>
      <c r="BT11" s="529"/>
      <c r="BU11" s="529"/>
      <c r="BV11" s="529"/>
      <c r="BW11" s="529"/>
      <c r="BX11" s="529"/>
      <c r="BY11" s="529"/>
      <c r="BZ11" s="529"/>
    </row>
    <row r="12" spans="1:78" ht="119.45" customHeight="1" x14ac:dyDescent="0.25">
      <c r="A12" s="403" t="s">
        <v>460</v>
      </c>
      <c r="B12" s="549" t="e">
        <f>IF(K11=0,"Not Applicable",(K12))</f>
        <v>#N/A</v>
      </c>
      <c r="C12" s="549" t="e">
        <f>IF(L11=0,"Not Applicable",(L12))</f>
        <v>#N/A</v>
      </c>
      <c r="D12" s="549" t="e">
        <f>IF(M11=0,"Not Applicable",M12)</f>
        <v>#N/A</v>
      </c>
      <c r="E12" s="550" t="s">
        <v>783</v>
      </c>
      <c r="F12" s="934" t="str">
        <f>M12</f>
        <v/>
      </c>
      <c r="G12" s="550" t="s">
        <v>788</v>
      </c>
      <c r="H12" s="551" t="s">
        <v>816</v>
      </c>
      <c r="I12" s="544"/>
      <c r="J12" s="518"/>
      <c r="K12" s="528" t="e">
        <f>HLOOKUP($B$3,'2019 Data(H)'!$E$2:$CZ$305,299,FALSE)</f>
        <v>#N/A</v>
      </c>
      <c r="L12" s="528" t="e">
        <f>HLOOKUP(B2,'2020 Data(H)'!E1:CB426,347,FALSE)</f>
        <v>#N/A</v>
      </c>
      <c r="M12" s="530" t="str">
        <f>IFERROR((Import!$L$120-Import!$L$121-Import!$L$118-Import!$L$119)/(Import!$L$124-Import!$L$125-Import!$L$126-Import!$L$127-Import!$L$128-Import!$L$129-Import!$L$123),"")</f>
        <v/>
      </c>
      <c r="Z12" s="160" t="s">
        <v>1060</v>
      </c>
    </row>
    <row r="13" spans="1:78" ht="69.599999999999994" customHeight="1" x14ac:dyDescent="0.25">
      <c r="A13" s="403" t="s">
        <v>825</v>
      </c>
      <c r="B13" s="552" t="e">
        <f>IF(K11=0,"Not Applicable",K13)</f>
        <v>#N/A</v>
      </c>
      <c r="C13" s="401" t="e">
        <f>IF(L11=0,"Not Applicable",L13)</f>
        <v>#N/A</v>
      </c>
      <c r="D13" s="553" t="e">
        <f>IF(M11=0,"Not Applicable",M13)</f>
        <v>#N/A</v>
      </c>
      <c r="E13" s="550" t="s">
        <v>1068</v>
      </c>
      <c r="F13" s="935" t="e">
        <f>D13</f>
        <v>#N/A</v>
      </c>
      <c r="G13" s="550" t="s">
        <v>1399</v>
      </c>
      <c r="H13" s="551" t="s">
        <v>817</v>
      </c>
      <c r="I13" s="544"/>
      <c r="J13" s="518"/>
      <c r="K13" s="266" t="e">
        <f>HLOOKUP(B3,'2019 Data(H)'!E2:CB305,300,FALSE)</f>
        <v>#N/A</v>
      </c>
      <c r="L13" s="266" t="e">
        <f>HLOOKUP(B2,'2020 Data(H)'!F1:CZ426,348,FALSE)</f>
        <v>#N/A</v>
      </c>
      <c r="M13" s="927">
        <f>+Import!$L$153-Import!$L$155+Import!$L$154-Import!$L$182</f>
        <v>0</v>
      </c>
      <c r="Z13" s="160" t="s">
        <v>1060</v>
      </c>
    </row>
    <row r="14" spans="1:78" ht="109.9" customHeight="1" x14ac:dyDescent="0.25">
      <c r="A14" s="403" t="s">
        <v>847</v>
      </c>
      <c r="B14" s="402" t="e">
        <f>IF(K11=0,"Not Applicable",K14)</f>
        <v>#N/A</v>
      </c>
      <c r="C14" s="402" t="e">
        <f>IF(L11=0,"Not Applicable",L14)</f>
        <v>#N/A</v>
      </c>
      <c r="D14" s="402" t="e">
        <f>IF(M11=0,"Not Applicable",M14)</f>
        <v>#N/A</v>
      </c>
      <c r="E14" s="550" t="s">
        <v>1300</v>
      </c>
      <c r="F14" s="396" t="e">
        <f>D14</f>
        <v>#N/A</v>
      </c>
      <c r="G14" s="550" t="s">
        <v>826</v>
      </c>
      <c r="H14" s="551" t="s">
        <v>1031</v>
      </c>
      <c r="I14" s="544"/>
      <c r="J14" s="518"/>
      <c r="K14" s="267" t="e">
        <f>HLOOKUP(B3,'2019 Data(H)'!E2:CZ305,301,FALSE)</f>
        <v>#N/A</v>
      </c>
      <c r="L14" s="267" t="e">
        <f>HLOOKUP(B2,'2020 Data(H)'!F1:CZ426,349,FALSE)</f>
        <v>#N/A</v>
      </c>
      <c r="M14" s="267" t="str">
        <f>IFERROR(Import!L116/(Import!L155+Import!L158-Import!L154+Import!L182),"")</f>
        <v/>
      </c>
      <c r="Z14" s="160" t="s">
        <v>1060</v>
      </c>
    </row>
    <row r="15" spans="1:78" ht="99.75" customHeight="1" thickBot="1" x14ac:dyDescent="0.3">
      <c r="A15" s="1303" t="s">
        <v>1301</v>
      </c>
      <c r="B15" s="1304"/>
      <c r="C15" s="1304"/>
      <c r="D15" s="928" t="str">
        <f>IF(K15&lt;0,"Yes","No")</f>
        <v>No</v>
      </c>
      <c r="E15" s="959"/>
      <c r="F15" s="929" t="str">
        <f>D15</f>
        <v>No</v>
      </c>
      <c r="G15" s="547" t="s">
        <v>1302</v>
      </c>
      <c r="H15" s="554" t="s">
        <v>818</v>
      </c>
      <c r="I15" s="548"/>
      <c r="J15" s="518"/>
      <c r="K15" s="287">
        <f>((Import!L158+Import!L155)*0.03)-Import!L161</f>
        <v>0</v>
      </c>
      <c r="Z15" s="160" t="s">
        <v>1060</v>
      </c>
    </row>
    <row r="16" spans="1:78" ht="37.5" customHeight="1" thickBot="1" x14ac:dyDescent="0.3">
      <c r="A16" s="286"/>
      <c r="B16" s="523"/>
      <c r="C16" s="523"/>
      <c r="D16" s="523"/>
      <c r="E16" s="524"/>
      <c r="F16" s="523"/>
      <c r="G16" s="525"/>
      <c r="H16" s="523"/>
      <c r="I16" s="523"/>
      <c r="Z16" s="562"/>
    </row>
    <row r="17" spans="1:26" ht="116.25" customHeight="1" thickBot="1" x14ac:dyDescent="0.3">
      <c r="A17" s="519" t="s">
        <v>462</v>
      </c>
      <c r="B17" s="289">
        <f>+B4</f>
        <v>2019</v>
      </c>
      <c r="C17" s="289">
        <f>+C4</f>
        <v>2020</v>
      </c>
      <c r="D17" s="289">
        <f>+D4</f>
        <v>2021</v>
      </c>
      <c r="E17" s="531"/>
      <c r="F17" s="532"/>
      <c r="G17" s="566" t="s">
        <v>846</v>
      </c>
      <c r="H17" s="932" t="s">
        <v>815</v>
      </c>
      <c r="I17" s="533"/>
      <c r="J17" s="518"/>
      <c r="K17" s="528" t="e">
        <f>HLOOKUP(B3,'2019 Data(H)'!E2:CZ310,243,FALSE)</f>
        <v>#N/A</v>
      </c>
      <c r="L17" s="269" t="e">
        <f>HLOOKUP(B3,'2020 Data(H)'!E2:CZ350,243,FALSE)</f>
        <v>#N/A</v>
      </c>
      <c r="M17" s="534" t="e">
        <f>+Import!L267</f>
        <v>#N/A</v>
      </c>
      <c r="Z17" s="560"/>
    </row>
    <row r="18" spans="1:26" ht="78" customHeight="1" x14ac:dyDescent="0.25">
      <c r="A18" s="290" t="s">
        <v>460</v>
      </c>
      <c r="B18" s="535" t="e">
        <f>IF(K17=0,"Not Applicable",K18)</f>
        <v>#N/A</v>
      </c>
      <c r="C18" s="535" t="e">
        <f>IF(L17=0,"Not Applicable",L18)</f>
        <v>#N/A</v>
      </c>
      <c r="D18" s="535" t="e">
        <f>IF(M17=0,"Not Applicable",M18)</f>
        <v>#N/A</v>
      </c>
      <c r="E18" s="550" t="s">
        <v>783</v>
      </c>
      <c r="F18" s="936" t="str">
        <f>+M18</f>
        <v/>
      </c>
      <c r="G18" s="947" t="s">
        <v>832</v>
      </c>
      <c r="H18" s="948" t="s">
        <v>816</v>
      </c>
      <c r="I18" s="544"/>
      <c r="J18" s="518"/>
      <c r="K18" s="269" t="e">
        <f>HLOOKUP(B3,'2019 Data(H)'!E2:CZ310,302,FALSE)</f>
        <v>#N/A</v>
      </c>
      <c r="L18" s="528" t="e">
        <f>HLOOKUP(B2,'2020 Data(H)'!F1:CZ426,350,FALSE)</f>
        <v>#N/A</v>
      </c>
      <c r="M18" s="528" t="str">
        <f>IFERROR((Import!L138-Import!L139-Import!L137-Import!L136)/(Import!L143-Import!L144-Import!L145-Import!L146-Import!L147-Import!L148-Import!L142),"")</f>
        <v/>
      </c>
      <c r="Z18" s="563" t="s">
        <v>1061</v>
      </c>
    </row>
    <row r="19" spans="1:26" ht="60.75" customHeight="1" x14ac:dyDescent="0.25">
      <c r="A19" s="284" t="s">
        <v>825</v>
      </c>
      <c r="B19" s="383" t="e">
        <f>IF(K17=0,"Not Applicable",K19)</f>
        <v>#N/A</v>
      </c>
      <c r="C19" s="383" t="e">
        <f>IF(L17=0,"Not Applicable",L19)</f>
        <v>#N/A</v>
      </c>
      <c r="D19" s="383" t="e">
        <f>IF(M17=0,"Not Applicable",M19)</f>
        <v>#N/A</v>
      </c>
      <c r="E19" s="550" t="s">
        <v>1068</v>
      </c>
      <c r="F19" s="937" t="e">
        <f>D19</f>
        <v>#N/A</v>
      </c>
      <c r="G19" s="947" t="s">
        <v>1400</v>
      </c>
      <c r="H19" s="948" t="s">
        <v>817</v>
      </c>
      <c r="I19" s="544"/>
      <c r="J19" s="518"/>
      <c r="K19" s="266" t="e">
        <f>HLOOKUP(B3,'2019 Data(H)'!E2:CZ310,303,FALSE)</f>
        <v>#N/A</v>
      </c>
      <c r="L19" s="266" t="e">
        <f>HLOOKUP(B2,'2020 Data(H)'!F1:CZ426,351,FALSE)</f>
        <v>#N/A</v>
      </c>
      <c r="M19" s="266">
        <f>+Import!L168-Import!L171+Import!L170-Import!L185</f>
        <v>0</v>
      </c>
      <c r="Z19" s="563" t="s">
        <v>1061</v>
      </c>
    </row>
    <row r="20" spans="1:26" ht="88.5" customHeight="1" thickBot="1" x14ac:dyDescent="0.3">
      <c r="A20" s="291" t="s">
        <v>847</v>
      </c>
      <c r="B20" s="384" t="e">
        <f>IF(K17=0,"Not Applicable",K20)</f>
        <v>#N/A</v>
      </c>
      <c r="C20" s="384" t="e">
        <f>IF(L17=0,"Not Applicable",L20)</f>
        <v>#N/A</v>
      </c>
      <c r="D20" s="384" t="e">
        <f>IF(M17=0,"Not Applicable",M20)</f>
        <v>#N/A</v>
      </c>
      <c r="E20" s="958" t="s">
        <v>1300</v>
      </c>
      <c r="F20" s="938" t="str">
        <f>+M20</f>
        <v/>
      </c>
      <c r="G20" s="950" t="s">
        <v>836</v>
      </c>
      <c r="H20" s="949" t="s">
        <v>1031</v>
      </c>
      <c r="I20" s="548"/>
      <c r="J20" s="518"/>
      <c r="K20" s="267" t="e">
        <f>HLOOKUP(B3,'2019 Data(H)'!E2:CZ310,304,FALSE)</f>
        <v>#N/A</v>
      </c>
      <c r="L20" s="267" t="e">
        <f>HLOOKUP(B2,'2020 Data(H)'!F1:CZ426,352,FALSE)</f>
        <v>#N/A</v>
      </c>
      <c r="M20" s="267" t="str">
        <f>IFERROR(Import!L134/(Import!L174+Import!L171-Import!L170+Import!L185),"")</f>
        <v/>
      </c>
      <c r="Z20" s="563" t="s">
        <v>1061</v>
      </c>
    </row>
    <row r="21" spans="1:26" ht="15.75" customHeight="1" x14ac:dyDescent="0.25">
      <c r="A21" s="404"/>
      <c r="B21" s="405"/>
      <c r="C21" s="405"/>
      <c r="D21" s="405"/>
      <c r="E21" s="555"/>
      <c r="F21" s="556"/>
      <c r="G21" s="557"/>
      <c r="H21" s="557"/>
      <c r="I21" s="955"/>
      <c r="J21" s="518"/>
      <c r="K21" s="267"/>
      <c r="L21" s="267"/>
      <c r="M21" s="267"/>
      <c r="Z21" s="563"/>
    </row>
    <row r="22" spans="1:26" ht="50.25" customHeight="1" x14ac:dyDescent="0.25">
      <c r="A22" s="956" t="s">
        <v>1066</v>
      </c>
      <c r="B22" s="405"/>
      <c r="C22" s="405"/>
      <c r="D22" s="405"/>
      <c r="E22" s="555"/>
      <c r="F22" s="556"/>
      <c r="G22" s="557"/>
      <c r="H22" s="557"/>
      <c r="I22" s="955"/>
      <c r="J22" s="518"/>
      <c r="K22" s="267"/>
      <c r="L22" s="267"/>
      <c r="M22" s="267"/>
      <c r="Z22" s="563"/>
    </row>
    <row r="23" spans="1:26" ht="88.5" customHeight="1" x14ac:dyDescent="0.25">
      <c r="A23" s="400" t="s">
        <v>460</v>
      </c>
      <c r="B23" s="406"/>
      <c r="C23" s="406"/>
      <c r="D23" s="962" t="str">
        <f>+M23</f>
        <v/>
      </c>
      <c r="E23" s="550" t="s">
        <v>783</v>
      </c>
      <c r="F23" s="961" t="str">
        <f>+M23</f>
        <v/>
      </c>
      <c r="G23" s="551" t="s">
        <v>1309</v>
      </c>
      <c r="H23" s="551" t="s">
        <v>816</v>
      </c>
      <c r="I23" s="540"/>
      <c r="J23" s="518"/>
      <c r="K23" s="267">
        <v>1000</v>
      </c>
      <c r="L23" s="267"/>
      <c r="M23" s="954" t="str">
        <f>IFERROR((+Import!L94-Import!L93)/Import!L95,"")</f>
        <v/>
      </c>
      <c r="Z23" s="563" t="s">
        <v>1067</v>
      </c>
    </row>
    <row r="24" spans="1:26" x14ac:dyDescent="0.25">
      <c r="A24" s="285"/>
      <c r="B24" s="536"/>
      <c r="C24" s="536"/>
      <c r="D24" s="536"/>
      <c r="E24" s="537"/>
      <c r="F24" s="536"/>
      <c r="G24" s="538"/>
      <c r="H24" s="536"/>
      <c r="I24" s="536"/>
      <c r="M24" s="273"/>
      <c r="Z24" s="564"/>
    </row>
  </sheetData>
  <sheetProtection algorithmName="SHA-512" hashValue="eUelNp7h9fq2p8tVXQ8ViS4MZ+lE0MBgcXQAlQyccEWMocFWB918m8vUsEILaDhOucWhLteDyuEoLgZLKOUQ9w==" saltValue="CVNdVhtFNaPRRVM/tZ+89w=="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2" sqref="A2:H2"/>
    </sheetView>
  </sheetViews>
  <sheetFormatPr defaultColWidth="9.140625" defaultRowHeight="15" x14ac:dyDescent="0.25"/>
  <cols>
    <col min="1" max="1" width="9.140625" style="295"/>
    <col min="2" max="2" width="10.42578125" style="295" bestFit="1" customWidth="1"/>
    <col min="3" max="3" width="29.85546875" style="295" customWidth="1"/>
    <col min="4" max="4" width="40.5703125" style="295" customWidth="1"/>
    <col min="5" max="5" width="3.7109375" style="295" customWidth="1"/>
    <col min="6" max="6" width="13.42578125" style="295" customWidth="1"/>
    <col min="7" max="7" width="3.5703125" style="295" customWidth="1"/>
    <col min="8" max="8" width="14.140625" style="295" customWidth="1"/>
    <col min="9" max="16384" width="9.140625" style="295"/>
  </cols>
  <sheetData>
    <row r="2" spans="1:8" ht="54.75" customHeight="1" x14ac:dyDescent="0.25">
      <c r="A2" s="1318" t="s">
        <v>112</v>
      </c>
      <c r="B2" s="1318"/>
      <c r="C2" s="1318"/>
      <c r="D2" s="1318"/>
      <c r="E2" s="1318"/>
      <c r="F2" s="468"/>
      <c r="G2" s="468"/>
      <c r="H2" s="469"/>
    </row>
    <row r="4" spans="1:8" ht="15.75" x14ac:dyDescent="0.25">
      <c r="A4" s="469"/>
      <c r="B4" s="470" t="str">
        <f>'Unit Data from Audit Worksheet'!D2</f>
        <v>Select Unit Name from Drop Down List</v>
      </c>
      <c r="C4" s="471"/>
      <c r="D4" s="19"/>
      <c r="E4" s="20"/>
      <c r="F4" s="472">
        <f>'Unit Data from Audit Worksheet'!F5</f>
        <v>2021</v>
      </c>
      <c r="G4" s="469"/>
      <c r="H4" s="472">
        <f>'Unit Data from Audit Worksheet'!F5</f>
        <v>2021</v>
      </c>
    </row>
    <row r="5" spans="1:8" ht="38.25" x14ac:dyDescent="0.35">
      <c r="A5" s="473"/>
      <c r="B5" s="474" t="s">
        <v>72</v>
      </c>
      <c r="C5" s="473"/>
      <c r="D5" s="473"/>
      <c r="E5" s="473"/>
      <c r="F5" s="472" t="s">
        <v>73</v>
      </c>
      <c r="G5" s="473"/>
      <c r="H5" s="475" t="s">
        <v>74</v>
      </c>
    </row>
    <row r="6" spans="1:8" x14ac:dyDescent="0.25">
      <c r="A6" s="469"/>
      <c r="B6" s="476" t="s">
        <v>75</v>
      </c>
      <c r="C6" s="469"/>
      <c r="D6" s="477"/>
      <c r="E6" s="477"/>
      <c r="F6" s="477"/>
      <c r="G6" s="477"/>
      <c r="H6" s="477"/>
    </row>
    <row r="7" spans="1:8" x14ac:dyDescent="0.25">
      <c r="A7" s="469"/>
      <c r="B7" s="477" t="s">
        <v>76</v>
      </c>
      <c r="C7" s="469"/>
      <c r="D7" s="477"/>
      <c r="E7" s="477" t="s">
        <v>31</v>
      </c>
      <c r="F7" s="478">
        <f>Import!L52</f>
        <v>0</v>
      </c>
      <c r="G7" s="479"/>
      <c r="H7" s="478">
        <f>F7</f>
        <v>0</v>
      </c>
    </row>
    <row r="8" spans="1:8" ht="44.25" customHeight="1" x14ac:dyDescent="0.25">
      <c r="A8" s="469"/>
      <c r="B8" s="1315" t="s">
        <v>77</v>
      </c>
      <c r="C8" s="1315"/>
      <c r="D8" s="1315"/>
      <c r="E8" s="477" t="s">
        <v>31</v>
      </c>
      <c r="F8" s="480">
        <f>Import!L53</f>
        <v>0</v>
      </c>
      <c r="G8" s="481"/>
      <c r="H8" s="481"/>
    </row>
    <row r="9" spans="1:8" x14ac:dyDescent="0.25">
      <c r="A9" s="469"/>
      <c r="B9" s="469"/>
      <c r="C9" s="477" t="s">
        <v>181</v>
      </c>
      <c r="D9" s="469"/>
      <c r="E9" s="477" t="s">
        <v>31</v>
      </c>
      <c r="F9" s="482">
        <f>Import!L57</f>
        <v>0</v>
      </c>
      <c r="G9" s="481"/>
      <c r="H9" s="467">
        <f>F9</f>
        <v>0</v>
      </c>
    </row>
    <row r="10" spans="1:8" x14ac:dyDescent="0.25">
      <c r="A10" s="469"/>
      <c r="B10" s="469"/>
      <c r="C10" s="477" t="s">
        <v>78</v>
      </c>
      <c r="D10" s="469"/>
      <c r="E10" s="477" t="s">
        <v>31</v>
      </c>
      <c r="F10" s="467">
        <f>Import!L230</f>
        <v>0</v>
      </c>
      <c r="G10" s="481"/>
      <c r="H10" s="467">
        <f>F10</f>
        <v>0</v>
      </c>
    </row>
    <row r="11" spans="1:8" x14ac:dyDescent="0.25">
      <c r="A11" s="469"/>
      <c r="B11" s="469"/>
      <c r="C11" s="477" t="s">
        <v>79</v>
      </c>
      <c r="D11" s="469"/>
      <c r="E11" s="477" t="s">
        <v>31</v>
      </c>
      <c r="F11" s="483">
        <f>Import!L58</f>
        <v>0</v>
      </c>
      <c r="G11" s="484"/>
      <c r="H11" s="483">
        <f>F11</f>
        <v>0</v>
      </c>
    </row>
    <row r="12" spans="1:8" x14ac:dyDescent="0.25">
      <c r="A12" s="469"/>
      <c r="B12" s="21" t="s">
        <v>80</v>
      </c>
      <c r="C12" s="485" t="s">
        <v>81</v>
      </c>
      <c r="D12" s="486"/>
      <c r="E12" s="487" t="s">
        <v>31</v>
      </c>
      <c r="F12" s="488">
        <f>F7+F8-SUM(F9:F11)</f>
        <v>0</v>
      </c>
      <c r="G12" s="489"/>
      <c r="H12" s="488">
        <f>H7+H8-SUM(H9:H11)</f>
        <v>0</v>
      </c>
    </row>
    <row r="13" spans="1:8" x14ac:dyDescent="0.25">
      <c r="A13" s="469"/>
      <c r="B13" s="469"/>
      <c r="C13" s="477"/>
      <c r="D13" s="477"/>
      <c r="E13" s="477" t="s">
        <v>31</v>
      </c>
      <c r="F13" s="477"/>
      <c r="G13" s="477"/>
      <c r="H13" s="477"/>
    </row>
    <row r="14" spans="1:8" x14ac:dyDescent="0.25">
      <c r="A14" s="469"/>
      <c r="B14" s="477" t="s">
        <v>82</v>
      </c>
      <c r="C14" s="469"/>
      <c r="D14" s="477"/>
      <c r="E14" s="477" t="s">
        <v>31</v>
      </c>
      <c r="F14" s="490">
        <f>Import!L65</f>
        <v>0</v>
      </c>
      <c r="G14" s="477"/>
      <c r="H14" s="477"/>
    </row>
    <row r="15" spans="1:8" x14ac:dyDescent="0.25">
      <c r="A15" s="469"/>
      <c r="B15" s="477" t="s">
        <v>83</v>
      </c>
      <c r="C15" s="469"/>
      <c r="D15" s="477"/>
      <c r="E15" s="477" t="s">
        <v>31</v>
      </c>
      <c r="F15" s="491">
        <f>F14-F12</f>
        <v>0</v>
      </c>
      <c r="G15" s="477"/>
      <c r="H15" s="477"/>
    </row>
    <row r="16" spans="1:8" x14ac:dyDescent="0.25">
      <c r="A16" s="469"/>
      <c r="B16" s="492" t="s">
        <v>84</v>
      </c>
      <c r="C16" s="469"/>
      <c r="D16" s="477"/>
      <c r="E16" s="477"/>
      <c r="F16" s="477"/>
      <c r="G16" s="477"/>
      <c r="H16" s="477"/>
    </row>
    <row r="17" spans="2:8" x14ac:dyDescent="0.25">
      <c r="B17" s="493" t="s">
        <v>85</v>
      </c>
      <c r="C17" s="477" t="s">
        <v>86</v>
      </c>
      <c r="D17" s="469"/>
      <c r="E17" s="477" t="s">
        <v>31</v>
      </c>
      <c r="F17" s="494">
        <f>Import!L61</f>
        <v>0</v>
      </c>
      <c r="G17" s="477"/>
      <c r="H17" s="477"/>
    </row>
    <row r="18" spans="2:8" ht="15.75" thickBot="1" x14ac:dyDescent="0.3">
      <c r="B18" s="21" t="s">
        <v>80</v>
      </c>
      <c r="C18" s="485" t="s">
        <v>87</v>
      </c>
      <c r="D18" s="486"/>
      <c r="E18" s="487" t="s">
        <v>31</v>
      </c>
      <c r="F18" s="495">
        <f>(F15-SUM(F17:F17))</f>
        <v>0</v>
      </c>
      <c r="G18" s="477"/>
      <c r="H18" s="477"/>
    </row>
    <row r="19" spans="2:8" ht="15.75" thickTop="1" x14ac:dyDescent="0.25">
      <c r="B19" s="469"/>
      <c r="C19" s="477"/>
      <c r="D19" s="477"/>
      <c r="E19" s="477"/>
      <c r="F19" s="477"/>
      <c r="G19" s="477"/>
      <c r="H19" s="477"/>
    </row>
    <row r="20" spans="2:8" ht="15.75" thickBot="1" x14ac:dyDescent="0.3">
      <c r="B20" s="477" t="s">
        <v>88</v>
      </c>
      <c r="C20" s="469"/>
      <c r="D20" s="477"/>
      <c r="E20" s="477" t="s">
        <v>31</v>
      </c>
      <c r="F20" s="496">
        <f>Import!L60</f>
        <v>0</v>
      </c>
      <c r="G20" s="477"/>
      <c r="H20" s="477"/>
    </row>
    <row r="21" spans="2:8" ht="16.5" thickTop="1" thickBot="1" x14ac:dyDescent="0.3">
      <c r="B21" s="469"/>
      <c r="C21" s="497"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69"/>
      <c r="E21" s="477" t="s">
        <v>31</v>
      </c>
      <c r="F21" s="498">
        <f>ABS(F18-F20)</f>
        <v>0</v>
      </c>
      <c r="G21" s="477"/>
      <c r="H21" s="477"/>
    </row>
    <row r="22" spans="2:8" ht="50.25" customHeight="1" thickTop="1" x14ac:dyDescent="0.25">
      <c r="B22" s="469"/>
      <c r="C22" s="1316" t="str">
        <f>IF(F18&gt;F20,"Since Restricted-Stabilization by State Statute was understated, verfiy that the unit did not appropriate fund balance in excess of legal amount available in row 12 above.","")</f>
        <v/>
      </c>
      <c r="D22" s="1316"/>
      <c r="E22" s="1316"/>
      <c r="F22" s="1316"/>
      <c r="G22" s="477"/>
      <c r="H22" s="477"/>
    </row>
    <row r="23" spans="2:8" x14ac:dyDescent="0.25">
      <c r="B23" s="469"/>
      <c r="C23" s="1317" t="s">
        <v>89</v>
      </c>
      <c r="D23" s="477"/>
      <c r="E23" s="477"/>
      <c r="F23" s="477"/>
      <c r="G23" s="477"/>
      <c r="H23" s="499" t="s">
        <v>90</v>
      </c>
    </row>
    <row r="24" spans="2:8" x14ac:dyDescent="0.25">
      <c r="B24" s="469"/>
      <c r="C24" s="1317"/>
      <c r="D24" s="477"/>
      <c r="E24" s="477"/>
      <c r="F24" s="472" t="s">
        <v>91</v>
      </c>
      <c r="G24" s="477"/>
      <c r="H24" s="472" t="s">
        <v>99</v>
      </c>
    </row>
    <row r="25" spans="2:8" x14ac:dyDescent="0.25">
      <c r="B25" s="469"/>
      <c r="C25" s="476" t="s">
        <v>92</v>
      </c>
      <c r="D25" s="477"/>
      <c r="E25" s="477"/>
      <c r="F25" s="477"/>
      <c r="G25" s="477"/>
      <c r="H25" s="477"/>
    </row>
    <row r="26" spans="2:8" ht="25.15" customHeight="1" x14ac:dyDescent="0.25">
      <c r="B26" s="469"/>
      <c r="C26" s="477" t="s">
        <v>93</v>
      </c>
      <c r="D26" s="477"/>
      <c r="E26" s="477" t="s">
        <v>31</v>
      </c>
      <c r="F26" s="478">
        <f>Import!L72</f>
        <v>0</v>
      </c>
      <c r="G26" s="479"/>
      <c r="H26" s="500">
        <f>F26</f>
        <v>0</v>
      </c>
    </row>
    <row r="27" spans="2:8" x14ac:dyDescent="0.25">
      <c r="B27" s="469"/>
      <c r="C27" s="493" t="s">
        <v>94</v>
      </c>
      <c r="D27" s="477"/>
      <c r="E27" s="477"/>
      <c r="F27" s="477"/>
      <c r="G27" s="477"/>
      <c r="H27" s="477"/>
    </row>
    <row r="28" spans="2:8" x14ac:dyDescent="0.25">
      <c r="B28" s="469"/>
      <c r="C28" s="477" t="s">
        <v>95</v>
      </c>
      <c r="D28" s="469"/>
      <c r="E28" s="477" t="s">
        <v>31</v>
      </c>
      <c r="F28" s="501">
        <f>Import!L74</f>
        <v>0</v>
      </c>
      <c r="G28" s="481"/>
      <c r="H28" s="502">
        <f>F28</f>
        <v>0</v>
      </c>
    </row>
    <row r="29" spans="2:8" x14ac:dyDescent="0.25">
      <c r="B29" s="469"/>
      <c r="C29" s="477" t="s">
        <v>96</v>
      </c>
      <c r="D29" s="469"/>
      <c r="E29" s="477" t="s">
        <v>31</v>
      </c>
      <c r="F29" s="503">
        <f>Import!L75+Import!L76</f>
        <v>0</v>
      </c>
      <c r="G29" s="481"/>
      <c r="H29" s="504">
        <f>F29</f>
        <v>0</v>
      </c>
    </row>
    <row r="30" spans="2:8" ht="15.75" thickBot="1" x14ac:dyDescent="0.3">
      <c r="B30" s="469"/>
      <c r="C30" s="477" t="s">
        <v>97</v>
      </c>
      <c r="D30" s="477"/>
      <c r="E30" s="477" t="s">
        <v>31</v>
      </c>
      <c r="F30" s="505">
        <f>SUM(F26:F28)-F29</f>
        <v>0</v>
      </c>
      <c r="G30" s="479"/>
      <c r="H30" s="505">
        <f>SUM(H26:H28)-H29</f>
        <v>0</v>
      </c>
    </row>
    <row r="31" spans="2:8" ht="15.75" thickTop="1" x14ac:dyDescent="0.25">
      <c r="B31" s="469"/>
      <c r="C31" s="477"/>
      <c r="D31" s="477"/>
      <c r="E31" s="477"/>
      <c r="F31" s="477"/>
      <c r="G31" s="477"/>
      <c r="H31" s="477"/>
    </row>
    <row r="32" spans="2:8" ht="15.75" thickBot="1" x14ac:dyDescent="0.3">
      <c r="B32" s="21" t="s">
        <v>80</v>
      </c>
      <c r="C32" s="497" t="s">
        <v>98</v>
      </c>
      <c r="D32" s="21"/>
      <c r="E32" s="497" t="s">
        <v>31</v>
      </c>
      <c r="F32" s="506" t="e">
        <f>F12/F30</f>
        <v>#DIV/0!</v>
      </c>
      <c r="G32" s="477"/>
      <c r="H32" s="506" t="e">
        <f>H12/H30</f>
        <v>#DIV/0!</v>
      </c>
    </row>
    <row r="33" spans="1:8" ht="15.75" thickTop="1" x14ac:dyDescent="0.25">
      <c r="C33" s="477"/>
      <c r="D33" s="477"/>
      <c r="E33" s="477"/>
      <c r="F33" s="477"/>
      <c r="G33" s="477"/>
      <c r="H33" s="477"/>
    </row>
    <row r="34" spans="1:8" ht="15.75" x14ac:dyDescent="0.25">
      <c r="A34" s="23"/>
      <c r="C34" s="22"/>
    </row>
    <row r="36" spans="1:8" x14ac:dyDescent="0.25">
      <c r="F36" s="296"/>
    </row>
    <row r="37" spans="1:8" x14ac:dyDescent="0.25">
      <c r="F37" s="130"/>
    </row>
    <row r="38" spans="1:8" x14ac:dyDescent="0.25">
      <c r="F38" s="130"/>
    </row>
    <row r="39" spans="1:8" x14ac:dyDescent="0.25">
      <c r="F39" s="130"/>
    </row>
    <row r="40" spans="1:8" x14ac:dyDescent="0.25">
      <c r="F40" s="130"/>
    </row>
    <row r="41" spans="1:8" x14ac:dyDescent="0.25">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A2" sqref="A2:H2"/>
      <selection pane="topRight" activeCell="A2" sqref="A2:H2"/>
      <selection pane="bottomLeft" activeCell="A2" sqref="A2:H2"/>
      <selection pane="bottomRight" activeCell="A2" sqref="A2:H2"/>
    </sheetView>
  </sheetViews>
  <sheetFormatPr defaultColWidth="9.140625" defaultRowHeight="15" x14ac:dyDescent="0.25"/>
  <cols>
    <col min="1" max="3" width="22.7109375" style="295" customWidth="1"/>
    <col min="4" max="4" width="18.7109375" style="704" customWidth="1"/>
    <col min="5" max="10" width="18.7109375" style="295" customWidth="1"/>
    <col min="11" max="16384" width="9.140625" style="295"/>
  </cols>
  <sheetData>
    <row r="3" spans="1:13" x14ac:dyDescent="0.25">
      <c r="D3" s="708">
        <v>2019</v>
      </c>
      <c r="E3" s="708">
        <v>2018</v>
      </c>
      <c r="F3" s="708">
        <v>2017</v>
      </c>
      <c r="G3" s="708">
        <v>2016</v>
      </c>
      <c r="H3" s="708">
        <v>2015</v>
      </c>
      <c r="I3" s="708">
        <v>2014</v>
      </c>
      <c r="J3" s="708">
        <v>2013</v>
      </c>
      <c r="K3" s="704"/>
      <c r="L3" s="704"/>
      <c r="M3" s="704"/>
    </row>
    <row r="4" spans="1:13" x14ac:dyDescent="0.25">
      <c r="A4" s="304" t="s">
        <v>513</v>
      </c>
      <c r="B4" s="304"/>
      <c r="C4" s="304" t="s">
        <v>514</v>
      </c>
      <c r="D4" s="707" t="s">
        <v>459</v>
      </c>
      <c r="E4" s="707" t="s">
        <v>459</v>
      </c>
      <c r="F4" s="707" t="s">
        <v>459</v>
      </c>
      <c r="G4" s="707" t="s">
        <v>459</v>
      </c>
      <c r="H4" s="707" t="s">
        <v>459</v>
      </c>
      <c r="I4" s="707" t="s">
        <v>459</v>
      </c>
      <c r="J4" s="707" t="s">
        <v>459</v>
      </c>
      <c r="K4" s="720"/>
    </row>
    <row r="5" spans="1:13" x14ac:dyDescent="0.25">
      <c r="A5" s="304">
        <v>5119</v>
      </c>
      <c r="B5" s="304" t="s">
        <v>490</v>
      </c>
      <c r="C5" s="304">
        <v>647</v>
      </c>
      <c r="D5" s="704">
        <v>20578691</v>
      </c>
      <c r="E5" s="704">
        <v>3249248</v>
      </c>
      <c r="F5" s="704">
        <v>2957570</v>
      </c>
      <c r="G5" s="704">
        <v>5709008</v>
      </c>
      <c r="H5" s="704">
        <v>5114434</v>
      </c>
      <c r="I5" s="704">
        <v>4562229</v>
      </c>
      <c r="J5" s="704">
        <v>4029652</v>
      </c>
    </row>
    <row r="6" spans="1:13" x14ac:dyDescent="0.25">
      <c r="A6" s="304">
        <v>5120</v>
      </c>
      <c r="B6" s="304" t="s">
        <v>491</v>
      </c>
      <c r="C6" s="304">
        <v>647</v>
      </c>
      <c r="D6" s="704">
        <v>0</v>
      </c>
      <c r="E6" s="704">
        <v>0</v>
      </c>
      <c r="F6" s="704">
        <v>0</v>
      </c>
      <c r="G6" s="704">
        <v>0</v>
      </c>
      <c r="H6" s="704">
        <v>0</v>
      </c>
      <c r="I6" s="704">
        <v>0</v>
      </c>
      <c r="J6" s="704">
        <v>0</v>
      </c>
    </row>
    <row r="7" spans="1:13" x14ac:dyDescent="0.25">
      <c r="A7" s="304">
        <v>5131</v>
      </c>
      <c r="B7" s="304" t="s">
        <v>492</v>
      </c>
      <c r="C7" s="304">
        <v>647</v>
      </c>
      <c r="D7" s="704">
        <v>37089245</v>
      </c>
      <c r="E7" s="704">
        <v>20299814</v>
      </c>
      <c r="F7" s="704">
        <v>8051571</v>
      </c>
      <c r="G7" s="704">
        <v>7371500</v>
      </c>
      <c r="H7" s="704">
        <v>5966665</v>
      </c>
      <c r="I7" s="704">
        <v>8207298</v>
      </c>
      <c r="J7" s="704">
        <v>7347048</v>
      </c>
    </row>
    <row r="8" spans="1:13" x14ac:dyDescent="0.25">
      <c r="A8" s="304">
        <v>5135</v>
      </c>
      <c r="B8" s="304" t="s">
        <v>493</v>
      </c>
      <c r="C8" s="304">
        <v>647</v>
      </c>
      <c r="D8" s="704">
        <v>0</v>
      </c>
      <c r="E8" s="704">
        <v>0</v>
      </c>
      <c r="F8" s="704">
        <v>4056482</v>
      </c>
      <c r="G8" s="704">
        <v>3922669</v>
      </c>
      <c r="H8" s="704">
        <v>3148233</v>
      </c>
      <c r="I8" s="704">
        <v>2755127</v>
      </c>
      <c r="J8" s="704">
        <v>2755127</v>
      </c>
    </row>
    <row r="9" spans="1:13" x14ac:dyDescent="0.25">
      <c r="A9" s="304">
        <v>5144</v>
      </c>
      <c r="B9" s="304" t="s">
        <v>494</v>
      </c>
      <c r="C9" s="304">
        <v>647</v>
      </c>
      <c r="D9" s="704">
        <v>7441890</v>
      </c>
      <c r="E9" s="704">
        <v>7441890</v>
      </c>
      <c r="F9" s="704">
        <v>4932241</v>
      </c>
      <c r="G9" s="704">
        <v>590997</v>
      </c>
      <c r="H9" s="704">
        <v>0</v>
      </c>
      <c r="I9" s="704">
        <v>3000000</v>
      </c>
      <c r="J9" s="704">
        <v>2390166</v>
      </c>
    </row>
    <row r="10" spans="1:13" x14ac:dyDescent="0.25">
      <c r="A10" s="304">
        <v>5155</v>
      </c>
      <c r="B10" s="304" t="s">
        <v>495</v>
      </c>
      <c r="C10" s="304">
        <v>647</v>
      </c>
      <c r="D10" s="704">
        <v>1008755</v>
      </c>
      <c r="E10" s="704">
        <v>781534</v>
      </c>
      <c r="F10" s="704">
        <v>663572</v>
      </c>
      <c r="G10" s="704">
        <v>6557774</v>
      </c>
      <c r="H10" s="704">
        <v>611355</v>
      </c>
      <c r="I10" s="704">
        <v>784361</v>
      </c>
      <c r="J10" s="704">
        <v>1022379</v>
      </c>
    </row>
    <row r="11" spans="1:13" x14ac:dyDescent="0.25">
      <c r="A11" s="304">
        <v>5158</v>
      </c>
      <c r="B11" s="304" t="s">
        <v>496</v>
      </c>
      <c r="C11" s="304">
        <v>647</v>
      </c>
      <c r="D11" s="704">
        <v>9</v>
      </c>
      <c r="E11" s="704">
        <v>9</v>
      </c>
      <c r="F11" s="704">
        <v>9</v>
      </c>
      <c r="G11" s="704">
        <v>9</v>
      </c>
      <c r="H11" s="704">
        <v>9</v>
      </c>
      <c r="I11" s="704">
        <v>9</v>
      </c>
      <c r="J11" s="704">
        <v>9</v>
      </c>
    </row>
    <row r="12" spans="1:13" x14ac:dyDescent="0.25">
      <c r="A12" s="304">
        <v>5159</v>
      </c>
      <c r="B12" s="304" t="s">
        <v>497</v>
      </c>
      <c r="C12" s="304">
        <v>647</v>
      </c>
      <c r="D12" s="704">
        <v>225639888</v>
      </c>
      <c r="E12" s="704">
        <v>219009306</v>
      </c>
      <c r="F12" s="704">
        <v>181812071</v>
      </c>
      <c r="G12" s="704">
        <v>193933610</v>
      </c>
      <c r="H12" s="704">
        <v>181583886</v>
      </c>
      <c r="I12" s="704">
        <v>0</v>
      </c>
      <c r="J12" s="704">
        <v>0</v>
      </c>
    </row>
    <row r="13" spans="1:13" x14ac:dyDescent="0.25">
      <c r="A13" s="304">
        <v>5164</v>
      </c>
      <c r="B13" s="304" t="s">
        <v>498</v>
      </c>
      <c r="C13" s="304">
        <v>647</v>
      </c>
      <c r="D13" s="704">
        <v>7132135</v>
      </c>
      <c r="E13" s="704">
        <v>5438631</v>
      </c>
      <c r="F13" s="704">
        <v>2427428</v>
      </c>
      <c r="G13" s="704">
        <v>157674</v>
      </c>
      <c r="H13" s="704">
        <v>0</v>
      </c>
      <c r="I13" s="704">
        <v>0</v>
      </c>
      <c r="J13" s="704">
        <v>0</v>
      </c>
    </row>
    <row r="14" spans="1:13" x14ac:dyDescent="0.25">
      <c r="A14" s="304">
        <v>5173</v>
      </c>
      <c r="B14" s="304" t="s">
        <v>499</v>
      </c>
      <c r="C14" s="304">
        <v>647</v>
      </c>
      <c r="D14" s="704">
        <v>422216</v>
      </c>
      <c r="E14" s="704">
        <v>2615544</v>
      </c>
      <c r="F14" s="704">
        <v>880554</v>
      </c>
      <c r="G14" s="704">
        <v>154942</v>
      </c>
      <c r="H14" s="704">
        <v>107456</v>
      </c>
      <c r="I14" s="704">
        <v>46240</v>
      </c>
      <c r="J14" s="704">
        <v>23390</v>
      </c>
    </row>
    <row r="15" spans="1:13" x14ac:dyDescent="0.25">
      <c r="A15" s="304">
        <v>5178</v>
      </c>
      <c r="B15" s="304" t="s">
        <v>500</v>
      </c>
      <c r="C15" s="304">
        <v>647</v>
      </c>
      <c r="D15" s="704">
        <v>75835</v>
      </c>
      <c r="E15" s="704">
        <v>66039</v>
      </c>
      <c r="F15" s="704">
        <v>57100</v>
      </c>
      <c r="G15" s="704">
        <v>52316</v>
      </c>
      <c r="H15" s="704">
        <v>23715</v>
      </c>
      <c r="I15" s="704">
        <v>899285</v>
      </c>
      <c r="J15" s="704">
        <v>1169608</v>
      </c>
    </row>
    <row r="16" spans="1:13" x14ac:dyDescent="0.25">
      <c r="A16" s="304">
        <v>5180</v>
      </c>
      <c r="B16" s="304" t="s">
        <v>501</v>
      </c>
      <c r="C16" s="304">
        <v>647</v>
      </c>
      <c r="D16" s="704">
        <v>4586780</v>
      </c>
      <c r="E16" s="704">
        <v>5165281</v>
      </c>
      <c r="F16" s="704">
        <v>4432068</v>
      </c>
      <c r="G16" s="704">
        <v>3558985</v>
      </c>
      <c r="H16" s="704">
        <v>2657915</v>
      </c>
      <c r="I16" s="704">
        <v>2071596</v>
      </c>
      <c r="J16" s="704">
        <v>1986034</v>
      </c>
    </row>
    <row r="17" spans="1:10" x14ac:dyDescent="0.25">
      <c r="A17" s="304">
        <v>5191</v>
      </c>
      <c r="B17" s="304" t="s">
        <v>502</v>
      </c>
      <c r="C17" s="304">
        <v>647</v>
      </c>
      <c r="D17" s="704">
        <v>111303046</v>
      </c>
      <c r="E17" s="704">
        <v>108974619</v>
      </c>
      <c r="F17" s="704">
        <v>120290900</v>
      </c>
      <c r="G17" s="704">
        <v>127448981</v>
      </c>
      <c r="H17" s="704">
        <v>153873846</v>
      </c>
      <c r="I17" s="704">
        <v>135252125</v>
      </c>
      <c r="J17" s="704">
        <v>169055200</v>
      </c>
    </row>
    <row r="18" spans="1:10" x14ac:dyDescent="0.25">
      <c r="A18" s="304">
        <v>50074</v>
      </c>
      <c r="B18" s="304" t="s">
        <v>503</v>
      </c>
      <c r="C18" s="304">
        <v>647</v>
      </c>
      <c r="D18" s="704">
        <v>7494829</v>
      </c>
      <c r="E18" s="704">
        <v>7189658</v>
      </c>
      <c r="F18" s="704">
        <v>7048523</v>
      </c>
      <c r="G18" s="704">
        <v>6615510</v>
      </c>
      <c r="H18" s="704">
        <v>5452410</v>
      </c>
      <c r="I18" s="704">
        <v>4803926</v>
      </c>
      <c r="J18" s="704">
        <v>5340180</v>
      </c>
    </row>
    <row r="19" spans="1:10" x14ac:dyDescent="0.25">
      <c r="A19" s="304">
        <v>50075</v>
      </c>
      <c r="B19" s="304" t="s">
        <v>504</v>
      </c>
      <c r="C19" s="304">
        <v>647</v>
      </c>
      <c r="D19" s="704">
        <v>266214000</v>
      </c>
      <c r="E19" s="704">
        <v>265541000</v>
      </c>
      <c r="F19" s="704">
        <v>274532000</v>
      </c>
      <c r="G19" s="704">
        <v>286138000</v>
      </c>
      <c r="H19" s="704">
        <v>295124000</v>
      </c>
      <c r="I19" s="704">
        <v>264645000</v>
      </c>
      <c r="J19" s="704">
        <v>231434000</v>
      </c>
    </row>
    <row r="20" spans="1:10" x14ac:dyDescent="0.25">
      <c r="A20" s="304">
        <v>50110</v>
      </c>
      <c r="B20" s="304" t="s">
        <v>505</v>
      </c>
      <c r="C20" s="304">
        <v>647</v>
      </c>
      <c r="D20" s="704">
        <v>46833536</v>
      </c>
      <c r="E20" s="704">
        <v>45660075</v>
      </c>
      <c r="F20" s="704">
        <v>8463820</v>
      </c>
      <c r="G20" s="704">
        <v>2663591</v>
      </c>
      <c r="H20" s="704">
        <v>2371109</v>
      </c>
      <c r="I20" s="704">
        <v>2878268</v>
      </c>
      <c r="J20" s="704">
        <v>4203755</v>
      </c>
    </row>
    <row r="21" spans="1:10" x14ac:dyDescent="0.25">
      <c r="A21" s="304">
        <v>50144</v>
      </c>
      <c r="B21" s="304" t="s">
        <v>506</v>
      </c>
      <c r="C21" s="304">
        <v>647</v>
      </c>
      <c r="D21" s="704">
        <v>4258932</v>
      </c>
      <c r="E21" s="704">
        <v>853434</v>
      </c>
      <c r="F21" s="704">
        <v>1622119</v>
      </c>
      <c r="G21" s="704">
        <v>1743258</v>
      </c>
      <c r="H21" s="704">
        <v>1740179</v>
      </c>
      <c r="I21" s="704">
        <v>1739958</v>
      </c>
      <c r="J21" s="704">
        <v>1739695</v>
      </c>
    </row>
    <row r="22" spans="1:10" x14ac:dyDescent="0.25">
      <c r="A22" s="304">
        <v>50159</v>
      </c>
      <c r="B22" s="304" t="s">
        <v>507</v>
      </c>
      <c r="C22" s="304">
        <v>647</v>
      </c>
      <c r="D22" s="704">
        <v>28636370</v>
      </c>
      <c r="E22" s="704">
        <v>23180822</v>
      </c>
      <c r="F22" s="704">
        <v>16487675</v>
      </c>
      <c r="G22" s="704">
        <v>10909425</v>
      </c>
      <c r="H22" s="704">
        <v>7878571</v>
      </c>
      <c r="I22" s="704">
        <v>5300679</v>
      </c>
      <c r="J22" s="704">
        <v>4801051</v>
      </c>
    </row>
    <row r="23" spans="1:10" x14ac:dyDescent="0.25">
      <c r="A23" s="304">
        <v>50160</v>
      </c>
      <c r="B23" s="304" t="s">
        <v>508</v>
      </c>
      <c r="C23" s="304">
        <v>647</v>
      </c>
      <c r="D23" s="704">
        <v>1134799</v>
      </c>
      <c r="E23" s="704">
        <v>894858</v>
      </c>
      <c r="F23" s="704">
        <v>1002425</v>
      </c>
      <c r="G23" s="704">
        <v>354061</v>
      </c>
      <c r="H23" s="704">
        <v>392698</v>
      </c>
      <c r="I23" s="704">
        <v>442800</v>
      </c>
      <c r="J23" s="704">
        <v>942821</v>
      </c>
    </row>
    <row r="24" spans="1:10" x14ac:dyDescent="0.25">
      <c r="A24" s="304">
        <v>50180</v>
      </c>
      <c r="B24" s="304" t="s">
        <v>509</v>
      </c>
      <c r="C24" s="304">
        <v>647</v>
      </c>
      <c r="D24" s="704">
        <v>13193040</v>
      </c>
      <c r="E24" s="704">
        <v>17058564</v>
      </c>
      <c r="F24" s="704">
        <v>16187505</v>
      </c>
      <c r="G24" s="704">
        <v>16428100</v>
      </c>
      <c r="H24" s="704">
        <v>16688416</v>
      </c>
      <c r="I24" s="704">
        <v>17840940</v>
      </c>
      <c r="J24" s="704">
        <v>18042019</v>
      </c>
    </row>
    <row r="25" spans="1:10" x14ac:dyDescent="0.25">
      <c r="A25" s="304">
        <v>50405</v>
      </c>
      <c r="B25" s="304" t="s">
        <v>510</v>
      </c>
      <c r="C25" s="304">
        <v>647</v>
      </c>
      <c r="D25" s="704">
        <v>302046</v>
      </c>
      <c r="E25" s="704">
        <v>1055143</v>
      </c>
      <c r="F25" s="704">
        <v>0</v>
      </c>
      <c r="G25" s="704">
        <v>0</v>
      </c>
      <c r="H25" s="704">
        <v>0</v>
      </c>
      <c r="I25" s="704">
        <v>0</v>
      </c>
      <c r="J25" s="704">
        <v>0</v>
      </c>
    </row>
    <row r="26" spans="1:10" x14ac:dyDescent="0.25">
      <c r="A26" s="304">
        <v>50425</v>
      </c>
      <c r="B26" s="304" t="s">
        <v>511</v>
      </c>
      <c r="C26" s="304">
        <v>647</v>
      </c>
      <c r="D26" s="704">
        <v>20836222</v>
      </c>
      <c r="E26" s="704">
        <v>16328642</v>
      </c>
      <c r="F26" s="704">
        <v>15202516</v>
      </c>
      <c r="G26" s="704">
        <v>12384500</v>
      </c>
      <c r="H26" s="704">
        <v>9788553</v>
      </c>
      <c r="I26" s="704">
        <v>7967199</v>
      </c>
      <c r="J26" s="704">
        <v>6398918</v>
      </c>
    </row>
    <row r="27" spans="1:10" x14ac:dyDescent="0.25">
      <c r="A27" s="304">
        <v>50431</v>
      </c>
      <c r="B27" s="304" t="s">
        <v>512</v>
      </c>
      <c r="C27" s="304">
        <v>647</v>
      </c>
      <c r="D27" s="704">
        <v>25542629</v>
      </c>
      <c r="E27" s="704">
        <v>24964077</v>
      </c>
      <c r="F27" s="704">
        <v>23618105</v>
      </c>
      <c r="G27" s="704">
        <v>22744716</v>
      </c>
      <c r="H27" s="704">
        <v>16714796</v>
      </c>
      <c r="I27" s="704">
        <v>13788676</v>
      </c>
      <c r="J27" s="704">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2" sqref="A2:H2"/>
    </sheetView>
  </sheetViews>
  <sheetFormatPr defaultColWidth="9.140625" defaultRowHeight="15" x14ac:dyDescent="0.25"/>
  <cols>
    <col min="1" max="1" width="9.140625" style="268"/>
    <col min="2" max="2" width="54.140625" style="268" customWidth="1"/>
    <col min="3" max="3" width="23.7109375" style="268" customWidth="1"/>
    <col min="4" max="4" width="19.7109375" style="268" customWidth="1"/>
    <col min="5" max="10" width="9.140625" style="268"/>
    <col min="11" max="11" width="54.140625" style="268" customWidth="1"/>
    <col min="12" max="16384" width="9.140625" style="268"/>
  </cols>
  <sheetData>
    <row r="1" spans="1:11" ht="45" x14ac:dyDescent="0.25">
      <c r="A1" s="268" t="s">
        <v>513</v>
      </c>
      <c r="B1" s="268" t="s">
        <v>654</v>
      </c>
      <c r="C1" s="277" t="s">
        <v>619</v>
      </c>
      <c r="D1" s="278" t="s">
        <v>844</v>
      </c>
      <c r="E1" s="268" t="s">
        <v>1315</v>
      </c>
    </row>
    <row r="3" spans="1:11" ht="23.25" x14ac:dyDescent="0.35">
      <c r="A3" s="268">
        <v>50001</v>
      </c>
      <c r="B3" s="268" t="s">
        <v>655</v>
      </c>
      <c r="C3" s="268">
        <v>50</v>
      </c>
      <c r="D3" s="168" t="s">
        <v>51</v>
      </c>
      <c r="E3" s="309" t="s">
        <v>985</v>
      </c>
    </row>
    <row r="4" spans="1:11" x14ac:dyDescent="0.25">
      <c r="A4" s="268">
        <v>50006</v>
      </c>
      <c r="B4" s="268" t="s">
        <v>656</v>
      </c>
      <c r="C4" s="268">
        <v>50</v>
      </c>
      <c r="D4" s="168" t="s">
        <v>51</v>
      </c>
    </row>
    <row r="5" spans="1:11" x14ac:dyDescent="0.25">
      <c r="A5" s="268">
        <v>50013</v>
      </c>
      <c r="B5" s="268" t="s">
        <v>658</v>
      </c>
      <c r="C5" s="268">
        <v>50</v>
      </c>
      <c r="D5" s="168" t="s">
        <v>51</v>
      </c>
    </row>
    <row r="6" spans="1:11" x14ac:dyDescent="0.25">
      <c r="A6" s="268">
        <v>50016</v>
      </c>
      <c r="B6" s="966" t="s">
        <v>1316</v>
      </c>
      <c r="C6" s="268">
        <v>50</v>
      </c>
      <c r="D6" s="168" t="s">
        <v>51</v>
      </c>
      <c r="K6" s="966"/>
    </row>
    <row r="7" spans="1:11" x14ac:dyDescent="0.25">
      <c r="A7" s="268">
        <v>50019</v>
      </c>
      <c r="B7" s="966" t="s">
        <v>1317</v>
      </c>
      <c r="C7" s="268">
        <v>50</v>
      </c>
      <c r="D7" s="168" t="s">
        <v>51</v>
      </c>
      <c r="K7" s="966"/>
    </row>
    <row r="8" spans="1:11" x14ac:dyDescent="0.25">
      <c r="A8" s="268">
        <v>50504</v>
      </c>
      <c r="B8" s="268" t="s">
        <v>659</v>
      </c>
      <c r="C8" s="268">
        <v>50</v>
      </c>
      <c r="D8" s="168" t="s">
        <v>51</v>
      </c>
    </row>
    <row r="9" spans="1:11" x14ac:dyDescent="0.25">
      <c r="A9" s="268">
        <v>50021</v>
      </c>
      <c r="B9" s="966" t="s">
        <v>1318</v>
      </c>
      <c r="C9" s="268">
        <v>50</v>
      </c>
      <c r="D9" s="168" t="s">
        <v>51</v>
      </c>
      <c r="K9" s="966"/>
    </row>
    <row r="10" spans="1:11" x14ac:dyDescent="0.25">
      <c r="A10" s="268">
        <v>50024</v>
      </c>
      <c r="B10" s="268" t="s">
        <v>660</v>
      </c>
      <c r="C10" s="268">
        <v>50</v>
      </c>
      <c r="D10" s="168" t="s">
        <v>51</v>
      </c>
    </row>
    <row r="11" spans="1:11" x14ac:dyDescent="0.25">
      <c r="A11" s="268">
        <v>50029</v>
      </c>
      <c r="B11" s="268" t="s">
        <v>661</v>
      </c>
      <c r="C11" s="268">
        <v>50</v>
      </c>
      <c r="D11" s="168" t="s">
        <v>51</v>
      </c>
    </row>
    <row r="12" spans="1:11" x14ac:dyDescent="0.25">
      <c r="A12" s="268">
        <v>50031</v>
      </c>
      <c r="B12" s="966" t="s">
        <v>1319</v>
      </c>
      <c r="C12" s="268">
        <v>50</v>
      </c>
      <c r="D12" s="168" t="s">
        <v>51</v>
      </c>
      <c r="K12" s="966"/>
    </row>
    <row r="13" spans="1:11" x14ac:dyDescent="0.25">
      <c r="A13" s="268">
        <v>50469</v>
      </c>
      <c r="B13" s="268" t="s">
        <v>662</v>
      </c>
      <c r="C13" s="268">
        <v>50</v>
      </c>
      <c r="D13" s="168" t="s">
        <v>51</v>
      </c>
    </row>
    <row r="14" spans="1:11" x14ac:dyDescent="0.25">
      <c r="A14" s="268">
        <v>50034</v>
      </c>
      <c r="B14" s="268" t="s">
        <v>664</v>
      </c>
      <c r="C14" s="268">
        <v>50</v>
      </c>
      <c r="D14" s="168" t="s">
        <v>51</v>
      </c>
    </row>
    <row r="15" spans="1:11" x14ac:dyDescent="0.25">
      <c r="A15" s="268">
        <v>50038</v>
      </c>
      <c r="B15" s="268" t="s">
        <v>665</v>
      </c>
      <c r="C15" s="268">
        <v>50</v>
      </c>
      <c r="D15" s="168" t="s">
        <v>51</v>
      </c>
    </row>
    <row r="16" spans="1:11" x14ac:dyDescent="0.25">
      <c r="A16" s="268">
        <v>50506</v>
      </c>
      <c r="B16" s="268" t="s">
        <v>666</v>
      </c>
      <c r="C16" s="268">
        <v>50</v>
      </c>
      <c r="D16" s="168" t="s">
        <v>51</v>
      </c>
    </row>
    <row r="17" spans="1:11" x14ac:dyDescent="0.25">
      <c r="A17" s="268">
        <v>50045</v>
      </c>
      <c r="B17" s="268" t="s">
        <v>667</v>
      </c>
      <c r="C17" s="268">
        <v>50</v>
      </c>
      <c r="D17" s="168" t="s">
        <v>51</v>
      </c>
    </row>
    <row r="18" spans="1:11" x14ac:dyDescent="0.25">
      <c r="A18" s="268">
        <v>50049</v>
      </c>
      <c r="B18" s="268" t="s">
        <v>668</v>
      </c>
      <c r="C18" s="268">
        <v>50</v>
      </c>
      <c r="D18" s="168" t="s">
        <v>51</v>
      </c>
    </row>
    <row r="19" spans="1:11" x14ac:dyDescent="0.25">
      <c r="A19" s="268">
        <v>50055</v>
      </c>
      <c r="B19" s="966" t="s">
        <v>1320</v>
      </c>
      <c r="C19" s="268">
        <v>50</v>
      </c>
      <c r="D19" s="168" t="s">
        <v>51</v>
      </c>
      <c r="K19" s="966"/>
    </row>
    <row r="20" spans="1:11" x14ac:dyDescent="0.25">
      <c r="A20" s="268">
        <v>50466</v>
      </c>
      <c r="B20" s="268" t="s">
        <v>1321</v>
      </c>
      <c r="C20" s="268">
        <v>50</v>
      </c>
      <c r="D20" s="168" t="s">
        <v>51</v>
      </c>
    </row>
    <row r="21" spans="1:11" x14ac:dyDescent="0.25">
      <c r="A21" s="268">
        <v>50069</v>
      </c>
      <c r="B21" s="268" t="s">
        <v>669</v>
      </c>
      <c r="C21" s="268">
        <v>50</v>
      </c>
      <c r="D21" s="168" t="s">
        <v>51</v>
      </c>
    </row>
    <row r="22" spans="1:11" x14ac:dyDescent="0.25">
      <c r="A22" s="268">
        <v>50467</v>
      </c>
      <c r="B22" s="268" t="s">
        <v>670</v>
      </c>
      <c r="C22" s="268">
        <v>50</v>
      </c>
      <c r="D22" s="168" t="s">
        <v>51</v>
      </c>
    </row>
    <row r="23" spans="1:11" x14ac:dyDescent="0.25">
      <c r="A23" s="268">
        <v>50510</v>
      </c>
      <c r="B23" s="268" t="s">
        <v>671</v>
      </c>
      <c r="C23" s="268">
        <v>50</v>
      </c>
      <c r="D23" s="168" t="s">
        <v>51</v>
      </c>
    </row>
    <row r="24" spans="1:11" x14ac:dyDescent="0.25">
      <c r="A24" s="268">
        <v>50078</v>
      </c>
      <c r="B24" s="268" t="s">
        <v>1322</v>
      </c>
      <c r="C24" s="268">
        <v>50</v>
      </c>
      <c r="D24" s="168" t="s">
        <v>51</v>
      </c>
    </row>
    <row r="25" spans="1:11" x14ac:dyDescent="0.25">
      <c r="A25" s="268">
        <v>50080</v>
      </c>
      <c r="B25" s="268" t="s">
        <v>1323</v>
      </c>
      <c r="C25" s="268">
        <v>50</v>
      </c>
      <c r="D25" s="168" t="s">
        <v>51</v>
      </c>
    </row>
    <row r="26" spans="1:11" x14ac:dyDescent="0.25">
      <c r="A26" s="268">
        <v>50468</v>
      </c>
      <c r="B26" s="966" t="s">
        <v>1324</v>
      </c>
      <c r="C26" s="268">
        <v>50</v>
      </c>
      <c r="D26" s="168" t="s">
        <v>51</v>
      </c>
      <c r="K26" s="966"/>
    </row>
    <row r="27" spans="1:11" x14ac:dyDescent="0.25">
      <c r="A27" s="268">
        <v>50086</v>
      </c>
      <c r="B27" s="268" t="s">
        <v>673</v>
      </c>
      <c r="C27" s="268">
        <v>50</v>
      </c>
      <c r="D27" s="168" t="s">
        <v>51</v>
      </c>
    </row>
    <row r="28" spans="1:11" x14ac:dyDescent="0.25">
      <c r="A28" s="268">
        <v>50087</v>
      </c>
      <c r="B28" s="268" t="s">
        <v>674</v>
      </c>
      <c r="C28" s="268">
        <v>50</v>
      </c>
      <c r="D28" s="168" t="s">
        <v>51</v>
      </c>
    </row>
    <row r="29" spans="1:11" x14ac:dyDescent="0.25">
      <c r="A29" s="268">
        <v>50091</v>
      </c>
      <c r="B29" s="966" t="s">
        <v>1325</v>
      </c>
      <c r="C29" s="268">
        <v>50</v>
      </c>
      <c r="D29" s="168" t="s">
        <v>51</v>
      </c>
      <c r="K29" s="966"/>
    </row>
    <row r="30" spans="1:11" x14ac:dyDescent="0.25">
      <c r="A30" s="268">
        <v>50098</v>
      </c>
      <c r="B30" s="268" t="s">
        <v>1326</v>
      </c>
      <c r="C30" s="268">
        <v>50</v>
      </c>
      <c r="D30" s="168" t="s">
        <v>51</v>
      </c>
    </row>
    <row r="31" spans="1:11" x14ac:dyDescent="0.25">
      <c r="A31" s="268">
        <v>50100</v>
      </c>
      <c r="B31" s="268" t="s">
        <v>1327</v>
      </c>
      <c r="C31" s="268">
        <v>50</v>
      </c>
      <c r="D31" s="168" t="s">
        <v>51</v>
      </c>
    </row>
    <row r="32" spans="1:11" x14ac:dyDescent="0.25">
      <c r="A32" s="268">
        <v>50513</v>
      </c>
      <c r="B32" s="268" t="s">
        <v>675</v>
      </c>
      <c r="C32" s="268">
        <v>50</v>
      </c>
      <c r="D32" s="168" t="s">
        <v>51</v>
      </c>
    </row>
    <row r="33" spans="1:11" x14ac:dyDescent="0.25">
      <c r="A33" s="268">
        <v>50106</v>
      </c>
      <c r="B33" s="268" t="s">
        <v>676</v>
      </c>
      <c r="C33" s="268">
        <v>50</v>
      </c>
      <c r="D33" s="168" t="s">
        <v>51</v>
      </c>
    </row>
    <row r="34" spans="1:11" x14ac:dyDescent="0.25">
      <c r="A34" s="268">
        <v>50472</v>
      </c>
      <c r="B34" s="268" t="s">
        <v>677</v>
      </c>
      <c r="C34" s="268">
        <v>50</v>
      </c>
      <c r="D34" s="168" t="s">
        <v>51</v>
      </c>
    </row>
    <row r="35" spans="1:11" x14ac:dyDescent="0.25">
      <c r="A35" s="268">
        <v>50112</v>
      </c>
      <c r="B35" s="268" t="s">
        <v>678</v>
      </c>
      <c r="C35" s="268">
        <v>50</v>
      </c>
      <c r="D35" s="168" t="s">
        <v>51</v>
      </c>
    </row>
    <row r="36" spans="1:11" x14ac:dyDescent="0.25">
      <c r="A36" s="268">
        <v>50113</v>
      </c>
      <c r="B36" s="268" t="s">
        <v>679</v>
      </c>
      <c r="C36" s="268">
        <v>50</v>
      </c>
      <c r="D36" s="168" t="s">
        <v>51</v>
      </c>
    </row>
    <row r="37" spans="1:11" x14ac:dyDescent="0.25">
      <c r="A37" s="268">
        <v>50116</v>
      </c>
      <c r="B37" s="966" t="s">
        <v>1328</v>
      </c>
      <c r="C37" s="268">
        <v>50</v>
      </c>
      <c r="D37" s="168" t="s">
        <v>51</v>
      </c>
      <c r="K37" s="966"/>
    </row>
    <row r="38" spans="1:11" x14ac:dyDescent="0.25">
      <c r="A38" s="268">
        <v>50121</v>
      </c>
      <c r="B38" s="268" t="s">
        <v>681</v>
      </c>
      <c r="C38" s="268">
        <v>50</v>
      </c>
      <c r="D38" s="168" t="s">
        <v>51</v>
      </c>
    </row>
    <row r="39" spans="1:11" x14ac:dyDescent="0.25">
      <c r="A39" s="268">
        <v>50122</v>
      </c>
      <c r="B39" s="268" t="s">
        <v>682</v>
      </c>
      <c r="C39" s="268">
        <v>50</v>
      </c>
      <c r="D39" s="168" t="s">
        <v>51</v>
      </c>
    </row>
    <row r="40" spans="1:11" x14ac:dyDescent="0.25">
      <c r="A40" s="268">
        <v>50125</v>
      </c>
      <c r="B40" s="268" t="s">
        <v>683</v>
      </c>
      <c r="C40" s="268">
        <v>50</v>
      </c>
      <c r="D40" s="168" t="s">
        <v>51</v>
      </c>
    </row>
    <row r="41" spans="1:11" x14ac:dyDescent="0.25">
      <c r="A41" s="268">
        <v>50126</v>
      </c>
      <c r="B41" s="966" t="s">
        <v>1329</v>
      </c>
      <c r="C41" s="268">
        <v>50</v>
      </c>
      <c r="D41" s="168" t="s">
        <v>51</v>
      </c>
      <c r="K41" s="966"/>
    </row>
    <row r="42" spans="1:11" x14ac:dyDescent="0.25">
      <c r="A42" s="268">
        <v>50127</v>
      </c>
      <c r="B42" s="268" t="s">
        <v>1330</v>
      </c>
      <c r="C42" s="268">
        <v>50</v>
      </c>
      <c r="D42" s="168" t="s">
        <v>51</v>
      </c>
    </row>
    <row r="43" spans="1:11" x14ac:dyDescent="0.25">
      <c r="A43" s="268">
        <v>50128</v>
      </c>
      <c r="B43" s="268" t="s">
        <v>685</v>
      </c>
      <c r="C43" s="268">
        <v>50</v>
      </c>
      <c r="D43" s="168" t="s">
        <v>51</v>
      </c>
    </row>
    <row r="44" spans="1:11" x14ac:dyDescent="0.25">
      <c r="A44" s="268">
        <v>50129</v>
      </c>
      <c r="B44" s="268" t="s">
        <v>686</v>
      </c>
      <c r="C44" s="268">
        <v>50</v>
      </c>
      <c r="D44" s="168" t="s">
        <v>51</v>
      </c>
    </row>
    <row r="45" spans="1:11" x14ac:dyDescent="0.25">
      <c r="A45" s="268">
        <v>50130</v>
      </c>
      <c r="B45" s="268" t="s">
        <v>687</v>
      </c>
      <c r="C45" s="268">
        <v>50</v>
      </c>
      <c r="D45" s="168" t="s">
        <v>51</v>
      </c>
    </row>
    <row r="46" spans="1:11" x14ac:dyDescent="0.25">
      <c r="A46" s="268">
        <v>50570</v>
      </c>
      <c r="B46" s="268" t="s">
        <v>688</v>
      </c>
      <c r="C46" s="268">
        <v>50</v>
      </c>
      <c r="D46" s="168" t="s">
        <v>51</v>
      </c>
    </row>
    <row r="47" spans="1:11" x14ac:dyDescent="0.25">
      <c r="A47" s="268">
        <v>50139</v>
      </c>
      <c r="B47" s="268" t="s">
        <v>690</v>
      </c>
      <c r="C47" s="268">
        <v>50</v>
      </c>
      <c r="D47" s="168" t="s">
        <v>51</v>
      </c>
    </row>
    <row r="48" spans="1:11" x14ac:dyDescent="0.25">
      <c r="A48" s="268">
        <v>50142</v>
      </c>
      <c r="B48" s="268" t="s">
        <v>691</v>
      </c>
      <c r="C48" s="268">
        <v>50</v>
      </c>
      <c r="D48" s="168" t="s">
        <v>51</v>
      </c>
    </row>
    <row r="49" spans="1:11" x14ac:dyDescent="0.25">
      <c r="A49" s="268">
        <v>50143</v>
      </c>
      <c r="B49" s="268" t="s">
        <v>692</v>
      </c>
      <c r="C49" s="268">
        <v>50</v>
      </c>
      <c r="D49" s="168" t="s">
        <v>51</v>
      </c>
    </row>
    <row r="50" spans="1:11" x14ac:dyDescent="0.25">
      <c r="A50" s="268">
        <v>50148</v>
      </c>
      <c r="B50" s="268" t="s">
        <v>493</v>
      </c>
      <c r="C50" s="268">
        <v>50</v>
      </c>
      <c r="D50" s="168" t="s">
        <v>51</v>
      </c>
    </row>
    <row r="51" spans="1:11" x14ac:dyDescent="0.25">
      <c r="A51" s="268">
        <v>50151</v>
      </c>
      <c r="B51" s="268" t="s">
        <v>1331</v>
      </c>
      <c r="C51" s="268">
        <v>50</v>
      </c>
      <c r="D51" s="168" t="s">
        <v>51</v>
      </c>
    </row>
    <row r="52" spans="1:11" x14ac:dyDescent="0.25">
      <c r="A52" s="268">
        <v>50153</v>
      </c>
      <c r="B52" s="268" t="s">
        <v>693</v>
      </c>
      <c r="C52" s="268">
        <v>50</v>
      </c>
      <c r="D52" s="168" t="s">
        <v>51</v>
      </c>
    </row>
    <row r="53" spans="1:11" x14ac:dyDescent="0.25">
      <c r="A53" s="268">
        <v>50154</v>
      </c>
      <c r="B53" s="268" t="s">
        <v>694</v>
      </c>
      <c r="C53" s="268">
        <v>50</v>
      </c>
      <c r="D53" s="168" t="s">
        <v>51</v>
      </c>
    </row>
    <row r="54" spans="1:11" x14ac:dyDescent="0.25">
      <c r="A54" s="268">
        <v>50517</v>
      </c>
      <c r="B54" s="966" t="s">
        <v>1332</v>
      </c>
      <c r="C54" s="268">
        <v>50</v>
      </c>
      <c r="D54" s="168" t="s">
        <v>51</v>
      </c>
      <c r="K54" s="966"/>
    </row>
    <row r="55" spans="1:11" x14ac:dyDescent="0.25">
      <c r="A55" s="268">
        <v>50448</v>
      </c>
      <c r="B55" s="268" t="s">
        <v>695</v>
      </c>
      <c r="C55" s="268">
        <v>50</v>
      </c>
      <c r="D55" s="168" t="s">
        <v>51</v>
      </c>
    </row>
    <row r="56" spans="1:11" x14ac:dyDescent="0.25">
      <c r="A56" s="268">
        <v>50163</v>
      </c>
      <c r="B56" s="268" t="s">
        <v>696</v>
      </c>
      <c r="C56" s="268">
        <v>50</v>
      </c>
      <c r="D56" s="168" t="s">
        <v>51</v>
      </c>
    </row>
    <row r="57" spans="1:11" x14ac:dyDescent="0.25">
      <c r="A57" s="268">
        <v>50165</v>
      </c>
      <c r="B57" s="268" t="s">
        <v>697</v>
      </c>
      <c r="C57" s="268">
        <v>50</v>
      </c>
      <c r="D57" s="168" t="s">
        <v>51</v>
      </c>
    </row>
    <row r="58" spans="1:11" x14ac:dyDescent="0.25">
      <c r="A58" s="268">
        <v>50166</v>
      </c>
      <c r="B58" s="268" t="s">
        <v>698</v>
      </c>
      <c r="C58" s="268">
        <v>50</v>
      </c>
      <c r="D58" s="168" t="s">
        <v>51</v>
      </c>
    </row>
    <row r="59" spans="1:11" x14ac:dyDescent="0.25">
      <c r="A59" s="268">
        <v>50167</v>
      </c>
      <c r="B59" s="268" t="s">
        <v>699</v>
      </c>
      <c r="C59" s="268">
        <v>50</v>
      </c>
      <c r="D59" s="168" t="s">
        <v>51</v>
      </c>
    </row>
    <row r="60" spans="1:11" x14ac:dyDescent="0.25">
      <c r="A60" s="268">
        <v>50171</v>
      </c>
      <c r="B60" s="966" t="s">
        <v>1333</v>
      </c>
      <c r="C60" s="268">
        <v>50</v>
      </c>
      <c r="D60" s="168" t="s">
        <v>51</v>
      </c>
      <c r="K60" s="966"/>
    </row>
    <row r="61" spans="1:11" x14ac:dyDescent="0.25">
      <c r="A61" s="268">
        <v>50440</v>
      </c>
      <c r="B61" s="268" t="s">
        <v>1334</v>
      </c>
      <c r="C61" s="268">
        <v>50</v>
      </c>
      <c r="D61" s="168" t="s">
        <v>51</v>
      </c>
    </row>
    <row r="62" spans="1:11" x14ac:dyDescent="0.25">
      <c r="A62" s="268">
        <v>50175</v>
      </c>
      <c r="B62" s="966" t="s">
        <v>494</v>
      </c>
      <c r="C62" s="268">
        <v>50</v>
      </c>
      <c r="D62" s="168" t="s">
        <v>51</v>
      </c>
      <c r="K62" s="966"/>
    </row>
    <row r="63" spans="1:11" x14ac:dyDescent="0.25">
      <c r="A63" s="268">
        <v>50177</v>
      </c>
      <c r="B63" s="966" t="s">
        <v>1335</v>
      </c>
      <c r="C63" s="268">
        <v>50</v>
      </c>
      <c r="D63" s="168" t="s">
        <v>51</v>
      </c>
      <c r="K63" s="966"/>
    </row>
    <row r="64" spans="1:11" x14ac:dyDescent="0.25">
      <c r="A64" s="268">
        <v>50183</v>
      </c>
      <c r="B64" s="268" t="s">
        <v>700</v>
      </c>
      <c r="C64" s="268">
        <v>50</v>
      </c>
      <c r="D64" s="168" t="s">
        <v>51</v>
      </c>
    </row>
    <row r="65" spans="1:11" x14ac:dyDescent="0.25">
      <c r="A65" s="268">
        <v>50184</v>
      </c>
      <c r="B65" s="268" t="s">
        <v>701</v>
      </c>
      <c r="C65" s="268">
        <v>50</v>
      </c>
      <c r="D65" s="168" t="s">
        <v>51</v>
      </c>
    </row>
    <row r="66" spans="1:11" x14ac:dyDescent="0.25">
      <c r="A66" s="268">
        <v>50186</v>
      </c>
      <c r="B66" s="268" t="s">
        <v>702</v>
      </c>
      <c r="C66" s="268">
        <v>50</v>
      </c>
      <c r="D66" s="168" t="s">
        <v>51</v>
      </c>
    </row>
    <row r="67" spans="1:11" x14ac:dyDescent="0.25">
      <c r="A67" s="268">
        <v>50476</v>
      </c>
      <c r="B67" s="268" t="s">
        <v>566</v>
      </c>
      <c r="C67" s="268">
        <v>50</v>
      </c>
      <c r="D67" s="168" t="s">
        <v>51</v>
      </c>
    </row>
    <row r="68" spans="1:11" x14ac:dyDescent="0.25">
      <c r="A68" s="268">
        <v>50192</v>
      </c>
      <c r="B68" s="268" t="s">
        <v>567</v>
      </c>
      <c r="C68" s="268">
        <v>50</v>
      </c>
      <c r="D68" s="168" t="s">
        <v>51</v>
      </c>
    </row>
    <row r="69" spans="1:11" x14ac:dyDescent="0.25">
      <c r="A69" s="268">
        <v>50518</v>
      </c>
      <c r="B69" s="268" t="s">
        <v>568</v>
      </c>
      <c r="C69" s="268">
        <v>50</v>
      </c>
      <c r="D69" s="168" t="s">
        <v>51</v>
      </c>
    </row>
    <row r="70" spans="1:11" x14ac:dyDescent="0.25">
      <c r="A70" s="268">
        <v>50231</v>
      </c>
      <c r="B70" s="268" t="s">
        <v>569</v>
      </c>
      <c r="C70" s="268">
        <v>50</v>
      </c>
      <c r="D70" s="168" t="s">
        <v>51</v>
      </c>
    </row>
    <row r="71" spans="1:11" x14ac:dyDescent="0.25">
      <c r="A71" s="268">
        <v>50235</v>
      </c>
      <c r="B71" s="268" t="s">
        <v>571</v>
      </c>
      <c r="C71" s="268">
        <v>50</v>
      </c>
      <c r="D71" s="168" t="s">
        <v>51</v>
      </c>
    </row>
    <row r="72" spans="1:11" x14ac:dyDescent="0.25">
      <c r="A72" s="268">
        <v>50233</v>
      </c>
      <c r="B72" s="268" t="s">
        <v>570</v>
      </c>
      <c r="C72" s="268">
        <v>50</v>
      </c>
      <c r="D72" s="168" t="s">
        <v>51</v>
      </c>
    </row>
    <row r="73" spans="1:11" x14ac:dyDescent="0.25">
      <c r="A73" s="268">
        <v>50236</v>
      </c>
      <c r="B73" s="268" t="s">
        <v>572</v>
      </c>
      <c r="C73" s="268">
        <v>50</v>
      </c>
      <c r="D73" s="168" t="s">
        <v>51</v>
      </c>
    </row>
    <row r="74" spans="1:11" x14ac:dyDescent="0.25">
      <c r="A74" s="268">
        <v>50239</v>
      </c>
      <c r="B74" s="268" t="s">
        <v>573</v>
      </c>
      <c r="C74" s="268">
        <v>50</v>
      </c>
      <c r="D74" s="168" t="s">
        <v>51</v>
      </c>
    </row>
    <row r="75" spans="1:11" x14ac:dyDescent="0.25">
      <c r="A75" s="268">
        <v>50249</v>
      </c>
      <c r="B75" s="268" t="s">
        <v>574</v>
      </c>
      <c r="C75" s="268">
        <v>50</v>
      </c>
      <c r="D75" s="168" t="s">
        <v>51</v>
      </c>
    </row>
    <row r="76" spans="1:11" x14ac:dyDescent="0.25">
      <c r="A76" s="268">
        <v>50254</v>
      </c>
      <c r="B76" s="268" t="s">
        <v>1336</v>
      </c>
      <c r="C76" s="268">
        <v>50</v>
      </c>
      <c r="D76" s="168" t="s">
        <v>51</v>
      </c>
    </row>
    <row r="77" spans="1:11" x14ac:dyDescent="0.25">
      <c r="A77" s="268">
        <v>50255</v>
      </c>
      <c r="B77" s="966" t="s">
        <v>1337</v>
      </c>
      <c r="C77" s="268">
        <v>50</v>
      </c>
      <c r="D77" s="168" t="s">
        <v>51</v>
      </c>
      <c r="K77" s="966"/>
    </row>
    <row r="78" spans="1:11" x14ac:dyDescent="0.25">
      <c r="A78" s="268">
        <v>50257</v>
      </c>
      <c r="B78" s="268" t="s">
        <v>705</v>
      </c>
      <c r="C78" s="268">
        <v>50</v>
      </c>
      <c r="D78" s="168" t="s">
        <v>51</v>
      </c>
    </row>
    <row r="79" spans="1:11" x14ac:dyDescent="0.25">
      <c r="A79" s="268">
        <v>50452</v>
      </c>
      <c r="B79" s="966" t="s">
        <v>1338</v>
      </c>
      <c r="C79" s="268">
        <v>50</v>
      </c>
      <c r="D79" s="168" t="s">
        <v>51</v>
      </c>
      <c r="K79" s="966"/>
    </row>
    <row r="80" spans="1:11" x14ac:dyDescent="0.25">
      <c r="A80" s="268">
        <v>50260</v>
      </c>
      <c r="B80" s="268" t="s">
        <v>706</v>
      </c>
      <c r="C80" s="268">
        <v>50</v>
      </c>
      <c r="D80" s="168" t="s">
        <v>51</v>
      </c>
    </row>
    <row r="81" spans="1:11" x14ac:dyDescent="0.25">
      <c r="A81" s="268">
        <v>50268</v>
      </c>
      <c r="B81" s="966" t="s">
        <v>1339</v>
      </c>
      <c r="C81" s="268">
        <v>50</v>
      </c>
      <c r="D81" s="168" t="s">
        <v>51</v>
      </c>
      <c r="K81" s="966"/>
    </row>
    <row r="82" spans="1:11" x14ac:dyDescent="0.25">
      <c r="A82" s="268">
        <v>50269</v>
      </c>
      <c r="B82" s="268" t="s">
        <v>707</v>
      </c>
      <c r="C82" s="268">
        <v>50</v>
      </c>
      <c r="D82" s="168" t="s">
        <v>51</v>
      </c>
    </row>
    <row r="83" spans="1:11" x14ac:dyDescent="0.25">
      <c r="A83" s="268">
        <v>50480</v>
      </c>
      <c r="B83" s="268" t="s">
        <v>708</v>
      </c>
      <c r="C83" s="268">
        <v>50</v>
      </c>
      <c r="D83" s="168" t="s">
        <v>51</v>
      </c>
    </row>
    <row r="84" spans="1:11" x14ac:dyDescent="0.25">
      <c r="A84" s="268">
        <v>50278</v>
      </c>
      <c r="B84" s="268" t="s">
        <v>709</v>
      </c>
      <c r="C84" s="268">
        <v>50</v>
      </c>
      <c r="D84" s="168" t="s">
        <v>51</v>
      </c>
    </row>
    <row r="85" spans="1:11" x14ac:dyDescent="0.25">
      <c r="A85" s="268">
        <v>50280</v>
      </c>
      <c r="B85" s="268" t="s">
        <v>710</v>
      </c>
      <c r="C85" s="268">
        <v>50</v>
      </c>
      <c r="D85" s="168" t="s">
        <v>51</v>
      </c>
    </row>
    <row r="86" spans="1:11" x14ac:dyDescent="0.25">
      <c r="A86" s="268">
        <v>50281</v>
      </c>
      <c r="B86" s="268" t="s">
        <v>711</v>
      </c>
      <c r="C86" s="268">
        <v>50</v>
      </c>
      <c r="D86" s="168" t="s">
        <v>51</v>
      </c>
    </row>
    <row r="87" spans="1:11" x14ac:dyDescent="0.25">
      <c r="A87" s="268">
        <v>50478</v>
      </c>
      <c r="B87" s="268" t="s">
        <v>712</v>
      </c>
      <c r="C87" s="268">
        <v>50</v>
      </c>
      <c r="D87" s="168" t="s">
        <v>51</v>
      </c>
    </row>
    <row r="88" spans="1:11" x14ac:dyDescent="0.25">
      <c r="A88" s="268">
        <v>50283</v>
      </c>
      <c r="B88" s="268" t="s">
        <v>714</v>
      </c>
      <c r="C88" s="268">
        <v>50</v>
      </c>
      <c r="D88" s="168" t="s">
        <v>51</v>
      </c>
    </row>
    <row r="89" spans="1:11" x14ac:dyDescent="0.25">
      <c r="A89" s="268">
        <v>50285</v>
      </c>
      <c r="B89" s="268" t="s">
        <v>715</v>
      </c>
      <c r="C89" s="268">
        <v>50</v>
      </c>
      <c r="D89" s="168" t="s">
        <v>51</v>
      </c>
    </row>
    <row r="90" spans="1:11" x14ac:dyDescent="0.25">
      <c r="A90" s="268">
        <v>50296</v>
      </c>
      <c r="B90" s="268" t="s">
        <v>718</v>
      </c>
      <c r="C90" s="268">
        <v>50</v>
      </c>
      <c r="D90" s="168" t="s">
        <v>51</v>
      </c>
    </row>
    <row r="91" spans="1:11" x14ac:dyDescent="0.25">
      <c r="A91" s="268">
        <v>50297</v>
      </c>
      <c r="B91" s="268" t="s">
        <v>719</v>
      </c>
      <c r="C91" s="268">
        <v>50</v>
      </c>
      <c r="D91" s="168" t="s">
        <v>51</v>
      </c>
    </row>
    <row r="92" spans="1:11" x14ac:dyDescent="0.25">
      <c r="A92" s="268">
        <v>50305</v>
      </c>
      <c r="B92" s="966" t="s">
        <v>1340</v>
      </c>
      <c r="C92" s="268">
        <v>50</v>
      </c>
      <c r="D92" s="168" t="s">
        <v>51</v>
      </c>
      <c r="K92" s="966"/>
    </row>
    <row r="93" spans="1:11" x14ac:dyDescent="0.25">
      <c r="A93" s="268">
        <v>50479</v>
      </c>
      <c r="B93" s="268" t="s">
        <v>720</v>
      </c>
      <c r="C93" s="268">
        <v>50</v>
      </c>
      <c r="D93" s="168" t="s">
        <v>51</v>
      </c>
    </row>
    <row r="94" spans="1:11" x14ac:dyDescent="0.25">
      <c r="A94" s="268">
        <v>50307</v>
      </c>
      <c r="B94" s="268" t="s">
        <v>721</v>
      </c>
      <c r="C94" s="268">
        <v>50</v>
      </c>
      <c r="D94" s="168" t="s">
        <v>51</v>
      </c>
    </row>
    <row r="95" spans="1:11" x14ac:dyDescent="0.25">
      <c r="A95" s="268">
        <v>50310</v>
      </c>
      <c r="B95" s="268" t="s">
        <v>722</v>
      </c>
      <c r="C95" s="268">
        <v>50</v>
      </c>
      <c r="D95" s="168" t="s">
        <v>51</v>
      </c>
    </row>
    <row r="96" spans="1:11" x14ac:dyDescent="0.25">
      <c r="A96" s="268">
        <v>50311</v>
      </c>
      <c r="B96" s="268" t="s">
        <v>723</v>
      </c>
      <c r="C96" s="268">
        <v>50</v>
      </c>
      <c r="D96" s="168" t="s">
        <v>51</v>
      </c>
    </row>
    <row r="97" spans="1:11" x14ac:dyDescent="0.25">
      <c r="A97" s="268">
        <v>50314</v>
      </c>
      <c r="B97" s="268" t="s">
        <v>724</v>
      </c>
      <c r="C97" s="268">
        <v>50</v>
      </c>
      <c r="D97" s="168" t="s">
        <v>51</v>
      </c>
    </row>
    <row r="98" spans="1:11" x14ac:dyDescent="0.25">
      <c r="A98" s="268">
        <v>50316</v>
      </c>
      <c r="B98" s="268" t="s">
        <v>725</v>
      </c>
      <c r="C98" s="268">
        <v>50</v>
      </c>
      <c r="D98" s="168" t="s">
        <v>51</v>
      </c>
    </row>
    <row r="99" spans="1:11" x14ac:dyDescent="0.25">
      <c r="A99" s="268">
        <v>50318</v>
      </c>
      <c r="B99" s="268" t="s">
        <v>726</v>
      </c>
      <c r="C99" s="268">
        <v>50</v>
      </c>
      <c r="D99" s="168" t="s">
        <v>51</v>
      </c>
    </row>
    <row r="100" spans="1:11" x14ac:dyDescent="0.25">
      <c r="A100" s="268">
        <v>50323</v>
      </c>
      <c r="B100" s="268" t="s">
        <v>727</v>
      </c>
      <c r="C100" s="268">
        <v>50</v>
      </c>
      <c r="D100" s="168" t="s">
        <v>51</v>
      </c>
    </row>
    <row r="101" spans="1:11" x14ac:dyDescent="0.25">
      <c r="A101" s="268">
        <v>50321</v>
      </c>
      <c r="B101" s="268" t="s">
        <v>1341</v>
      </c>
      <c r="C101" s="268">
        <v>50</v>
      </c>
      <c r="D101" s="168" t="s">
        <v>51</v>
      </c>
    </row>
    <row r="102" spans="1:11" x14ac:dyDescent="0.25">
      <c r="A102" s="268">
        <v>50325</v>
      </c>
      <c r="B102" s="268" t="s">
        <v>728</v>
      </c>
      <c r="C102" s="268">
        <v>50</v>
      </c>
      <c r="D102" s="168" t="s">
        <v>51</v>
      </c>
    </row>
    <row r="103" spans="1:11" x14ac:dyDescent="0.25">
      <c r="A103" s="268">
        <v>50327</v>
      </c>
      <c r="B103" s="268" t="s">
        <v>729</v>
      </c>
      <c r="C103" s="268">
        <v>50</v>
      </c>
      <c r="D103" s="168" t="s">
        <v>51</v>
      </c>
    </row>
    <row r="104" spans="1:11" x14ac:dyDescent="0.25">
      <c r="A104" s="268">
        <v>50328</v>
      </c>
      <c r="B104" s="268" t="s">
        <v>500</v>
      </c>
      <c r="C104" s="268">
        <v>50</v>
      </c>
      <c r="D104" s="168" t="s">
        <v>51</v>
      </c>
    </row>
    <row r="105" spans="1:11" x14ac:dyDescent="0.25">
      <c r="A105" s="268">
        <v>50332</v>
      </c>
      <c r="B105" s="268" t="s">
        <v>730</v>
      </c>
      <c r="C105" s="268">
        <v>50</v>
      </c>
      <c r="D105" s="168" t="s">
        <v>51</v>
      </c>
    </row>
    <row r="106" spans="1:11" x14ac:dyDescent="0.25">
      <c r="A106" s="268">
        <v>50334</v>
      </c>
      <c r="B106" s="966" t="s">
        <v>1342</v>
      </c>
      <c r="C106" s="268">
        <v>50</v>
      </c>
      <c r="D106" s="168" t="s">
        <v>51</v>
      </c>
      <c r="K106" s="966"/>
    </row>
    <row r="107" spans="1:11" x14ac:dyDescent="0.25">
      <c r="A107" s="268">
        <v>50336</v>
      </c>
      <c r="B107" s="268" t="s">
        <v>1343</v>
      </c>
      <c r="C107" s="268">
        <v>50</v>
      </c>
      <c r="D107" s="168" t="s">
        <v>51</v>
      </c>
    </row>
    <row r="108" spans="1:11" x14ac:dyDescent="0.25">
      <c r="A108" s="268">
        <v>50337</v>
      </c>
      <c r="B108" s="966" t="s">
        <v>1344</v>
      </c>
      <c r="C108" s="268">
        <v>50</v>
      </c>
      <c r="D108" s="168" t="s">
        <v>51</v>
      </c>
      <c r="K108" s="966"/>
    </row>
    <row r="109" spans="1:11" x14ac:dyDescent="0.25">
      <c r="A109" s="268">
        <v>50338</v>
      </c>
      <c r="B109" s="966" t="s">
        <v>1345</v>
      </c>
      <c r="C109" s="268">
        <v>50</v>
      </c>
      <c r="D109" s="168" t="s">
        <v>51</v>
      </c>
      <c r="K109" s="966"/>
    </row>
    <row r="110" spans="1:11" x14ac:dyDescent="0.25">
      <c r="A110" s="268">
        <v>50340</v>
      </c>
      <c r="B110" s="268" t="s">
        <v>1346</v>
      </c>
      <c r="C110" s="268">
        <v>50</v>
      </c>
      <c r="D110" s="168" t="s">
        <v>51</v>
      </c>
    </row>
    <row r="111" spans="1:11" x14ac:dyDescent="0.25">
      <c r="A111" s="268">
        <v>50343</v>
      </c>
      <c r="B111" s="268" t="s">
        <v>731</v>
      </c>
      <c r="C111" s="268">
        <v>50</v>
      </c>
      <c r="D111" s="168" t="s">
        <v>51</v>
      </c>
    </row>
    <row r="112" spans="1:11" x14ac:dyDescent="0.25">
      <c r="A112" s="268">
        <v>50348</v>
      </c>
      <c r="B112" s="268" t="s">
        <v>733</v>
      </c>
      <c r="C112" s="268">
        <v>50</v>
      </c>
      <c r="D112" s="168" t="s">
        <v>51</v>
      </c>
    </row>
    <row r="113" spans="1:11" x14ac:dyDescent="0.25">
      <c r="A113" s="268">
        <v>50541</v>
      </c>
      <c r="B113" s="268" t="s">
        <v>734</v>
      </c>
      <c r="C113" s="268">
        <v>50</v>
      </c>
      <c r="D113" s="168" t="s">
        <v>51</v>
      </c>
    </row>
    <row r="114" spans="1:11" x14ac:dyDescent="0.25">
      <c r="A114" s="268">
        <v>50355</v>
      </c>
      <c r="B114" s="268" t="s">
        <v>735</v>
      </c>
      <c r="C114" s="268">
        <v>50</v>
      </c>
      <c r="D114" s="168" t="s">
        <v>51</v>
      </c>
    </row>
    <row r="115" spans="1:11" x14ac:dyDescent="0.25">
      <c r="A115" s="268">
        <v>50357</v>
      </c>
      <c r="B115" s="966" t="s">
        <v>1347</v>
      </c>
      <c r="C115" s="268">
        <v>50</v>
      </c>
      <c r="D115" s="168" t="s">
        <v>51</v>
      </c>
      <c r="K115" s="966"/>
    </row>
    <row r="116" spans="1:11" x14ac:dyDescent="0.25">
      <c r="A116" s="268">
        <v>50360</v>
      </c>
      <c r="B116" s="268" t="s">
        <v>736</v>
      </c>
      <c r="C116" s="268">
        <v>50</v>
      </c>
      <c r="D116" s="168" t="s">
        <v>51</v>
      </c>
    </row>
    <row r="117" spans="1:11" x14ac:dyDescent="0.25">
      <c r="A117" s="268">
        <v>50370</v>
      </c>
      <c r="B117" s="268" t="s">
        <v>737</v>
      </c>
      <c r="C117" s="268">
        <v>50</v>
      </c>
      <c r="D117" s="168" t="s">
        <v>51</v>
      </c>
    </row>
    <row r="118" spans="1:11" x14ac:dyDescent="0.25">
      <c r="A118" s="268">
        <v>50374</v>
      </c>
      <c r="B118" s="268" t="s">
        <v>1348</v>
      </c>
      <c r="C118" s="268">
        <v>50</v>
      </c>
      <c r="D118" s="168" t="s">
        <v>51</v>
      </c>
    </row>
    <row r="119" spans="1:11" x14ac:dyDescent="0.25">
      <c r="A119" s="268">
        <v>50483</v>
      </c>
      <c r="B119" s="268" t="s">
        <v>1349</v>
      </c>
      <c r="C119" s="268">
        <v>50</v>
      </c>
      <c r="D119" s="168" t="s">
        <v>51</v>
      </c>
    </row>
    <row r="120" spans="1:11" x14ac:dyDescent="0.25">
      <c r="A120" s="268">
        <v>50386</v>
      </c>
      <c r="B120" s="268" t="s">
        <v>1350</v>
      </c>
      <c r="C120" s="268">
        <v>50</v>
      </c>
      <c r="D120" s="168" t="s">
        <v>51</v>
      </c>
    </row>
    <row r="121" spans="1:11" x14ac:dyDescent="0.25">
      <c r="A121" s="268">
        <v>50389</v>
      </c>
      <c r="B121" s="268" t="s">
        <v>739</v>
      </c>
      <c r="C121" s="268">
        <v>50</v>
      </c>
      <c r="D121" s="168" t="s">
        <v>51</v>
      </c>
    </row>
    <row r="122" spans="1:11" x14ac:dyDescent="0.25">
      <c r="A122" s="268">
        <v>50500</v>
      </c>
      <c r="B122" s="268" t="s">
        <v>740</v>
      </c>
      <c r="C122" s="268">
        <v>50</v>
      </c>
      <c r="D122" s="168" t="s">
        <v>51</v>
      </c>
    </row>
    <row r="123" spans="1:11" x14ac:dyDescent="0.25">
      <c r="A123" s="268">
        <v>50390</v>
      </c>
      <c r="B123" s="966" t="s">
        <v>1351</v>
      </c>
      <c r="C123" s="268">
        <v>50</v>
      </c>
      <c r="D123" s="168" t="s">
        <v>51</v>
      </c>
      <c r="K123" s="966"/>
    </row>
    <row r="124" spans="1:11" x14ac:dyDescent="0.25">
      <c r="A124" s="268">
        <v>50396</v>
      </c>
      <c r="B124" s="268" t="s">
        <v>741</v>
      </c>
      <c r="C124" s="268">
        <v>50</v>
      </c>
      <c r="D124" s="168" t="s">
        <v>51</v>
      </c>
    </row>
    <row r="125" spans="1:11" x14ac:dyDescent="0.25">
      <c r="A125" s="268">
        <v>50399</v>
      </c>
      <c r="B125" s="268" t="s">
        <v>743</v>
      </c>
      <c r="C125" s="268">
        <v>50</v>
      </c>
      <c r="D125" s="168" t="s">
        <v>51</v>
      </c>
    </row>
    <row r="126" spans="1:11" x14ac:dyDescent="0.25">
      <c r="A126" s="268">
        <v>50401</v>
      </c>
      <c r="B126" s="268" t="s">
        <v>744</v>
      </c>
      <c r="C126" s="268">
        <v>50</v>
      </c>
      <c r="D126" s="168" t="s">
        <v>51</v>
      </c>
    </row>
    <row r="127" spans="1:11" x14ac:dyDescent="0.25">
      <c r="A127" s="268">
        <v>50402</v>
      </c>
      <c r="B127" s="966" t="s">
        <v>1352</v>
      </c>
      <c r="C127" s="268">
        <v>50</v>
      </c>
      <c r="D127" s="168" t="s">
        <v>51</v>
      </c>
      <c r="K127" s="966"/>
    </row>
    <row r="128" spans="1:11" x14ac:dyDescent="0.25">
      <c r="A128" s="268">
        <v>50486</v>
      </c>
      <c r="B128" s="268" t="s">
        <v>1353</v>
      </c>
      <c r="C128" s="268">
        <v>50</v>
      </c>
      <c r="D128" s="168" t="s">
        <v>51</v>
      </c>
    </row>
    <row r="129" spans="1:11" x14ac:dyDescent="0.25">
      <c r="A129" s="268">
        <v>50409</v>
      </c>
      <c r="B129" s="268" t="s">
        <v>1354</v>
      </c>
      <c r="C129" s="268">
        <v>50</v>
      </c>
      <c r="D129" s="168" t="s">
        <v>51</v>
      </c>
    </row>
    <row r="130" spans="1:11" x14ac:dyDescent="0.25">
      <c r="A130" s="268">
        <v>50420</v>
      </c>
      <c r="B130" s="268" t="s">
        <v>745</v>
      </c>
      <c r="C130" s="268">
        <v>50</v>
      </c>
      <c r="D130" s="168" t="s">
        <v>51</v>
      </c>
    </row>
    <row r="131" spans="1:11" x14ac:dyDescent="0.25">
      <c r="A131" s="268">
        <v>50421</v>
      </c>
      <c r="B131" s="966" t="s">
        <v>1355</v>
      </c>
      <c r="C131" s="268">
        <v>50</v>
      </c>
      <c r="D131" s="168" t="s">
        <v>51</v>
      </c>
      <c r="K131" s="966"/>
    </row>
    <row r="132" spans="1:11" x14ac:dyDescent="0.25">
      <c r="A132" s="268">
        <v>50423</v>
      </c>
      <c r="B132" s="268" t="s">
        <v>746</v>
      </c>
      <c r="C132" s="268">
        <v>50</v>
      </c>
      <c r="D132" s="168" t="s">
        <v>51</v>
      </c>
    </row>
    <row r="133" spans="1:11" x14ac:dyDescent="0.25">
      <c r="A133" s="268">
        <v>50432</v>
      </c>
      <c r="B133" s="966" t="s">
        <v>1356</v>
      </c>
      <c r="C133" s="268">
        <v>50</v>
      </c>
      <c r="D133" s="168" t="s">
        <v>51</v>
      </c>
      <c r="K133" s="966"/>
    </row>
    <row r="134" spans="1:11" x14ac:dyDescent="0.25">
      <c r="A134" s="268">
        <v>50499</v>
      </c>
      <c r="B134" s="966" t="s">
        <v>1357</v>
      </c>
      <c r="C134" s="268">
        <v>50</v>
      </c>
      <c r="D134" s="168" t="s">
        <v>51</v>
      </c>
      <c r="K134" s="966"/>
    </row>
    <row r="135" spans="1:11" x14ac:dyDescent="0.25">
      <c r="A135" s="268">
        <v>5103</v>
      </c>
      <c r="B135" s="268" t="s">
        <v>657</v>
      </c>
      <c r="C135" s="268">
        <v>51</v>
      </c>
      <c r="D135" s="168" t="s">
        <v>51</v>
      </c>
    </row>
    <row r="136" spans="1:11" x14ac:dyDescent="0.25">
      <c r="A136" s="268">
        <v>5107</v>
      </c>
      <c r="B136" s="268" t="s">
        <v>663</v>
      </c>
      <c r="C136" s="268">
        <v>51</v>
      </c>
      <c r="D136" s="168" t="s">
        <v>51</v>
      </c>
    </row>
    <row r="137" spans="1:11" x14ac:dyDescent="0.25">
      <c r="A137" s="268">
        <v>5116</v>
      </c>
      <c r="B137" s="966" t="s">
        <v>1358</v>
      </c>
      <c r="C137" s="268">
        <v>51</v>
      </c>
      <c r="D137" s="168" t="s">
        <v>51</v>
      </c>
      <c r="K137" s="966"/>
    </row>
    <row r="138" spans="1:11" x14ac:dyDescent="0.25">
      <c r="A138" s="268">
        <v>5119</v>
      </c>
      <c r="B138" s="966" t="s">
        <v>1359</v>
      </c>
      <c r="C138" s="268">
        <v>51</v>
      </c>
      <c r="D138" s="168" t="s">
        <v>51</v>
      </c>
      <c r="K138" s="966"/>
    </row>
    <row r="139" spans="1:11" x14ac:dyDescent="0.25">
      <c r="A139" s="268">
        <v>5123</v>
      </c>
      <c r="B139" s="268" t="s">
        <v>1360</v>
      </c>
      <c r="C139" s="268">
        <v>51</v>
      </c>
      <c r="D139" s="168" t="s">
        <v>51</v>
      </c>
    </row>
    <row r="140" spans="1:11" x14ac:dyDescent="0.25">
      <c r="A140" s="268">
        <v>5129</v>
      </c>
      <c r="B140" s="966" t="s">
        <v>1361</v>
      </c>
      <c r="C140" s="268">
        <v>51</v>
      </c>
      <c r="D140" s="168" t="s">
        <v>51</v>
      </c>
      <c r="K140" s="966"/>
    </row>
    <row r="141" spans="1:11" x14ac:dyDescent="0.25">
      <c r="A141" s="268">
        <v>5132</v>
      </c>
      <c r="B141" s="268" t="s">
        <v>680</v>
      </c>
      <c r="C141" s="268">
        <v>51</v>
      </c>
      <c r="D141" s="168" t="s">
        <v>51</v>
      </c>
    </row>
    <row r="142" spans="1:11" x14ac:dyDescent="0.25">
      <c r="A142" s="268">
        <v>5137</v>
      </c>
      <c r="B142" s="268" t="s">
        <v>1362</v>
      </c>
      <c r="C142" s="268">
        <v>51</v>
      </c>
      <c r="D142" s="168" t="s">
        <v>51</v>
      </c>
    </row>
    <row r="143" spans="1:11" x14ac:dyDescent="0.25">
      <c r="A143" s="268">
        <v>5147</v>
      </c>
      <c r="B143" s="268" t="s">
        <v>703</v>
      </c>
      <c r="C143" s="268">
        <v>51</v>
      </c>
      <c r="D143" s="168" t="s">
        <v>51</v>
      </c>
    </row>
    <row r="144" spans="1:11" x14ac:dyDescent="0.25">
      <c r="A144" s="268">
        <v>5156</v>
      </c>
      <c r="B144" s="268" t="s">
        <v>704</v>
      </c>
      <c r="C144" s="268">
        <v>51</v>
      </c>
      <c r="D144" s="168" t="s">
        <v>51</v>
      </c>
    </row>
    <row r="145" spans="1:11" x14ac:dyDescent="0.25">
      <c r="A145" s="268">
        <v>5157</v>
      </c>
      <c r="B145" s="268" t="s">
        <v>1363</v>
      </c>
      <c r="C145" s="268">
        <v>51</v>
      </c>
      <c r="D145" s="168" t="s">
        <v>51</v>
      </c>
    </row>
    <row r="146" spans="1:11" x14ac:dyDescent="0.25">
      <c r="A146" s="268">
        <v>5165</v>
      </c>
      <c r="B146" s="268" t="s">
        <v>713</v>
      </c>
      <c r="C146" s="268">
        <v>51</v>
      </c>
      <c r="D146" s="168" t="s">
        <v>51</v>
      </c>
    </row>
    <row r="147" spans="1:11" x14ac:dyDescent="0.25">
      <c r="A147" s="268">
        <v>5167</v>
      </c>
      <c r="B147" s="268" t="s">
        <v>716</v>
      </c>
      <c r="C147" s="268">
        <v>51</v>
      </c>
      <c r="D147" s="168" t="s">
        <v>51</v>
      </c>
    </row>
    <row r="148" spans="1:11" x14ac:dyDescent="0.25">
      <c r="A148" s="268">
        <v>5170</v>
      </c>
      <c r="B148" s="268" t="s">
        <v>717</v>
      </c>
      <c r="C148" s="268">
        <v>51</v>
      </c>
      <c r="D148" s="168" t="s">
        <v>51</v>
      </c>
    </row>
    <row r="149" spans="1:11" x14ac:dyDescent="0.25">
      <c r="A149" s="268">
        <v>5172</v>
      </c>
      <c r="B149" s="268" t="s">
        <v>1364</v>
      </c>
      <c r="C149" s="268">
        <v>51</v>
      </c>
      <c r="D149" s="168" t="s">
        <v>51</v>
      </c>
    </row>
    <row r="150" spans="1:11" x14ac:dyDescent="0.25">
      <c r="A150" s="268">
        <v>5182</v>
      </c>
      <c r="B150" s="268" t="s">
        <v>732</v>
      </c>
      <c r="C150" s="268">
        <v>51</v>
      </c>
      <c r="D150" s="168" t="s">
        <v>51</v>
      </c>
    </row>
    <row r="151" spans="1:11" x14ac:dyDescent="0.25">
      <c r="A151" s="268">
        <v>5188</v>
      </c>
      <c r="B151" s="268" t="s">
        <v>742</v>
      </c>
      <c r="C151" s="268">
        <v>51</v>
      </c>
      <c r="D151" s="168" t="s">
        <v>51</v>
      </c>
    </row>
    <row r="152" spans="1:11" x14ac:dyDescent="0.25">
      <c r="A152" s="268">
        <v>591706</v>
      </c>
      <c r="B152" s="967" t="s">
        <v>1365</v>
      </c>
      <c r="C152" s="268">
        <v>59</v>
      </c>
      <c r="D152" s="168" t="s">
        <v>51</v>
      </c>
      <c r="K152" s="967"/>
    </row>
    <row r="153" spans="1:11" x14ac:dyDescent="0.25">
      <c r="A153" s="268">
        <v>591612</v>
      </c>
      <c r="B153" s="967" t="s">
        <v>1366</v>
      </c>
      <c r="C153" s="268">
        <v>59</v>
      </c>
      <c r="D153" s="168" t="s">
        <v>51</v>
      </c>
      <c r="K153" s="967"/>
    </row>
    <row r="154" spans="1:11" x14ac:dyDescent="0.25">
      <c r="A154" s="268">
        <v>591604</v>
      </c>
      <c r="B154" s="268" t="s">
        <v>672</v>
      </c>
      <c r="C154" s="268">
        <v>59</v>
      </c>
      <c r="D154" s="168" t="s">
        <v>51</v>
      </c>
    </row>
    <row r="155" spans="1:11" x14ac:dyDescent="0.25">
      <c r="A155" s="268">
        <v>591632</v>
      </c>
      <c r="B155" s="966" t="s">
        <v>684</v>
      </c>
      <c r="C155" s="268">
        <v>59</v>
      </c>
      <c r="D155" s="168" t="s">
        <v>51</v>
      </c>
      <c r="K155" s="966"/>
    </row>
    <row r="156" spans="1:11" x14ac:dyDescent="0.25">
      <c r="A156" s="268">
        <v>591607</v>
      </c>
      <c r="B156" s="268" t="s">
        <v>689</v>
      </c>
      <c r="C156" s="268">
        <v>59</v>
      </c>
      <c r="D156" s="168" t="s">
        <v>51</v>
      </c>
    </row>
    <row r="157" spans="1:11" x14ac:dyDescent="0.25">
      <c r="A157" s="268">
        <v>591613</v>
      </c>
      <c r="B157" s="268" t="s">
        <v>1367</v>
      </c>
      <c r="C157" s="268">
        <v>59</v>
      </c>
      <c r="D157" s="168" t="s">
        <v>51</v>
      </c>
    </row>
    <row r="158" spans="1:11" x14ac:dyDescent="0.25">
      <c r="A158" s="268">
        <v>591616</v>
      </c>
      <c r="B158" s="966" t="s">
        <v>1368</v>
      </c>
      <c r="C158" s="268">
        <v>59</v>
      </c>
      <c r="D158" s="168" t="s">
        <v>51</v>
      </c>
      <c r="K158" s="966"/>
    </row>
    <row r="159" spans="1:11" x14ac:dyDescent="0.25">
      <c r="A159" s="268">
        <v>592368</v>
      </c>
      <c r="B159" s="268" t="s">
        <v>738</v>
      </c>
      <c r="C159" s="268">
        <v>59</v>
      </c>
      <c r="D159" s="168" t="s">
        <v>51</v>
      </c>
    </row>
    <row r="160" spans="1:11" x14ac:dyDescent="0.25">
      <c r="A160" s="268">
        <v>591633</v>
      </c>
      <c r="B160" s="966" t="s">
        <v>1369</v>
      </c>
      <c r="C160" s="268">
        <v>59</v>
      </c>
      <c r="D160" s="168" t="s">
        <v>51</v>
      </c>
      <c r="K160" s="966"/>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Manasa Cooper</cp:lastModifiedBy>
  <cp:lastPrinted>2021-12-16T11:48:26Z</cp:lastPrinted>
  <dcterms:created xsi:type="dcterms:W3CDTF">2011-03-11T21:05:05Z</dcterms:created>
  <dcterms:modified xsi:type="dcterms:W3CDTF">2021-12-16T11:53:14Z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