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C31CB169-058A-472B-AD58-8374CACF2EBA}"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RSS" sheetId="30" state="hidden" r:id="rId6"/>
    <sheet name="2020 Data(H)" sheetId="74" state="hidden" r:id="rId7"/>
    <sheet name="Unit Names(H)" sheetId="29" state="hidden" r:id="rId8"/>
  </sheets>
  <externalReferences>
    <externalReference r:id="rId9"/>
  </externalReferences>
  <definedNames>
    <definedName name="Audit_Dtl">[1]Database!$AC$3:$AP$413</definedName>
    <definedName name="errorCount">'TD Info Completed by Auditor'!$U$5</definedName>
    <definedName name="_xlnm.Print_Area" localSheetId="6">'2020 Data(H)'!$B$297:$E$320</definedName>
    <definedName name="_xlnm.Print_Area" localSheetId="0">Instructions!$B$1:$B$50</definedName>
    <definedName name="_xlnm.Print_Area" localSheetId="4">'Performance  Indicators Print'!$A$1:$H$51</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l="1"/>
  <c r="E250" i="28"/>
  <c r="E260" i="28"/>
  <c r="E259" i="28"/>
  <c r="E258" i="28"/>
  <c r="E255" i="28"/>
  <c r="L255" i="28" s="1"/>
  <c r="E253" i="28"/>
  <c r="E252" i="28"/>
  <c r="E249" i="28"/>
  <c r="E248" i="28"/>
  <c r="E247" i="28"/>
  <c r="E246" i="28"/>
  <c r="L260" i="28" l="1"/>
  <c r="C260" i="28"/>
  <c r="C259" i="28"/>
  <c r="A260" i="28"/>
  <c r="A259" i="28"/>
  <c r="H78" i="53"/>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U2" i="29"/>
  <c r="T2" i="29"/>
  <c r="P2" i="29"/>
  <c r="O2" i="29"/>
  <c r="E97" i="1" l="1"/>
  <c r="E96" i="1"/>
  <c r="E95" i="1"/>
  <c r="E94" i="1"/>
  <c r="E92" i="1"/>
  <c r="E91" i="1"/>
  <c r="E90" i="1"/>
  <c r="E100" i="1"/>
  <c r="E96" i="53" l="1"/>
  <c r="A327" i="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93"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6" i="53"/>
  <c r="G180" i="1" l="1"/>
  <c r="E243" i="28" l="1"/>
  <c r="L243" i="28" s="1"/>
  <c r="C243" i="28"/>
  <c r="A243" i="28"/>
  <c r="W243" i="28" l="1"/>
  <c r="L253" i="28"/>
  <c r="C253" i="28"/>
  <c r="A253" i="28"/>
  <c r="E257" i="28"/>
  <c r="D43" i="80" l="1"/>
  <c r="F43" i="80" s="1"/>
  <c r="W253" i="28"/>
  <c r="G222" i="1"/>
  <c r="E256" i="28"/>
  <c r="C258" i="28"/>
  <c r="C257" i="28"/>
  <c r="C256" i="28"/>
  <c r="C255" i="28"/>
  <c r="C254" i="28"/>
  <c r="C251" i="28"/>
  <c r="C250" i="28"/>
  <c r="C249" i="28"/>
  <c r="C248" i="28"/>
  <c r="L244" i="28" l="1"/>
  <c r="H244" i="28"/>
  <c r="A244" i="28"/>
  <c r="C244" i="28"/>
  <c r="H229" i="28"/>
  <c r="A229" i="28"/>
  <c r="B229" i="28"/>
  <c r="C229" i="28"/>
  <c r="E229" i="28"/>
  <c r="L229" i="28"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48" i="28"/>
  <c r="M47" i="80" s="1"/>
  <c r="L249" i="28"/>
  <c r="N47" i="80" s="1"/>
  <c r="L250" i="28"/>
  <c r="L256" i="28"/>
  <c r="L251" i="28"/>
  <c r="L257" i="28"/>
  <c r="D41" i="80" l="1"/>
  <c r="F41" i="80" s="1"/>
  <c r="D35" i="80"/>
  <c r="F35" i="80" s="1"/>
  <c r="D47" i="80"/>
  <c r="H28" i="53" l="1"/>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L291" i="28"/>
  <c r="L16" i="80"/>
  <c r="M13" i="80"/>
  <c r="M20" i="80"/>
  <c r="L24" i="80"/>
  <c r="L20" i="80"/>
  <c r="L14" i="80"/>
  <c r="D39" i="80"/>
  <c r="L23" i="80"/>
  <c r="L13" i="80"/>
  <c r="L17" i="80"/>
  <c r="L21" i="80"/>
  <c r="Y266" i="28"/>
  <c r="H39" i="80" l="1"/>
  <c r="F39" i="80"/>
  <c r="B24" i="80"/>
  <c r="B23" i="80"/>
  <c r="C23" i="80"/>
  <c r="C24" i="80"/>
  <c r="C16" i="80"/>
  <c r="C17" i="80"/>
  <c r="B16" i="80"/>
  <c r="B17" i="80"/>
  <c r="Y268" i="28"/>
  <c r="Y267" i="28"/>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Y291" i="28"/>
  <c r="N24" i="80" l="1"/>
  <c r="D24" i="80" s="1"/>
  <c r="F24" i="80" s="1"/>
  <c r="N23" i="80"/>
  <c r="D23" i="80" s="1"/>
  <c r="F23" i="80" s="1"/>
  <c r="M18" i="80"/>
  <c r="D18" i="80" s="1"/>
  <c r="F18" i="80" s="1"/>
  <c r="D37" i="80"/>
  <c r="F37" i="80" s="1"/>
  <c r="N16" i="80"/>
  <c r="D16" i="80" s="1"/>
  <c r="F16" i="80" s="1"/>
  <c r="N17" i="80"/>
  <c r="D17" i="80" s="1"/>
  <c r="F17" i="80" s="1"/>
  <c r="N14" i="80"/>
  <c r="L7" i="80"/>
  <c r="E9" i="80" s="1"/>
  <c r="F14" i="80"/>
  <c r="G124" i="28"/>
  <c r="F124" i="28"/>
  <c r="L264" i="28"/>
  <c r="L263" i="28"/>
  <c r="L262" i="28"/>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L11" i="80"/>
  <c r="G143" i="28"/>
  <c r="F143" i="28"/>
  <c r="L10" i="80"/>
  <c r="L9" i="80"/>
  <c r="L265" i="28"/>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G239" i="28" l="1"/>
  <c r="G237" i="28"/>
  <c r="X10" i="28"/>
  <c r="Y10" i="28"/>
  <c r="F91" i="28"/>
  <c r="Y91" i="28"/>
  <c r="G238" i="28"/>
  <c r="F239" i="28"/>
  <c r="F10" i="28"/>
  <c r="X91" i="28"/>
  <c r="X143" i="28"/>
  <c r="F225" i="28"/>
  <c r="F238" i="28"/>
  <c r="F30" i="30"/>
  <c r="H29" i="30"/>
  <c r="H30" i="30" s="1"/>
  <c r="F220" i="28"/>
  <c r="F12" i="30"/>
  <c r="H10" i="30"/>
  <c r="H12" i="30" s="1"/>
  <c r="F237" i="28"/>
  <c r="D49" i="80" l="1"/>
  <c r="F49" i="80" s="1"/>
  <c r="L295" i="28"/>
  <c r="J295" i="28"/>
  <c r="H32" i="30"/>
  <c r="F15" i="30"/>
  <c r="F18" i="30" s="1"/>
  <c r="F32" i="30"/>
  <c r="C22" i="30" l="1"/>
  <c r="F21" i="30"/>
  <c r="C21" i="30"/>
</calcChain>
</file>

<file path=xl/sharedStrings.xml><?xml version="1.0" encoding="utf-8"?>
<sst xmlns="http://schemas.openxmlformats.org/spreadsheetml/2006/main" count="2264" uniqueCount="1204">
  <si>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</si>
  <si>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</si>
  <si>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</si>
  <si>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</si>
  <si>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</si>
  <si>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</si>
  <si>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</si>
  <si>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</si>
  <si>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</si>
  <si>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</si>
  <si>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</si>
  <si>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</si>
  <si>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</si>
  <si>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</si>
  <si>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</si>
  <si>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</si>
  <si>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</si>
  <si>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</si>
  <si>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</si>
  <si>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</si>
  <si>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</si>
  <si>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</si>
  <si>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</si>
  <si>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</si>
  <si>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</si>
  <si>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</si>
  <si>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</si>
  <si>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</si>
  <si>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</si>
  <si>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</si>
  <si>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</si>
  <si>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</si>
  <si>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</si>
  <si>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</si>
  <si>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</si>
  <si>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</si>
  <si>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</si>
  <si>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</si>
  <si>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</si>
  <si>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</si>
  <si>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</si>
  <si>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</si>
  <si>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</si>
  <si>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</si>
  <si>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</si>
  <si>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</si>
  <si>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</si>
  <si>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</si>
  <si>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</si>
  <si>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</si>
  <si>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</si>
  <si>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</si>
  <si>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</si>
  <si>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</si>
  <si>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</si>
  <si>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</si>
  <si>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</si>
  <si>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</si>
  <si>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</si>
  <si>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</si>
  <si>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</si>
  <si>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</si>
  <si>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</si>
  <si>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</si>
  <si>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</si>
  <si>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</si>
  <si>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</si>
  <si>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</si>
  <si>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</si>
  <si>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</si>
  <si>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</si>
  <si>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</si>
  <si>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</si>
  <si>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</si>
  <si>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</si>
  <si>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</si>
  <si>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</si>
  <si>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</si>
  <si>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</si>
  <si>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</si>
  <si>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</si>
  <si>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</si>
  <si>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</si>
  <si>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</si>
  <si>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</si>
  <si>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</si>
  <si>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</si>
  <si>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</si>
  <si>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</si>
  <si>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</si>
  <si>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</si>
  <si>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</si>
  <si>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</si>
  <si>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</si>
  <si>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</si>
  <si>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</si>
  <si>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</si>
  <si>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</si>
  <si>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</si>
  <si>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</si>
  <si>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</si>
  <si>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</si>
  <si>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</si>
  <si>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</si>
  <si>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</si>
  <si>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</si>
  <si>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</si>
  <si>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</si>
  <si>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</si>
  <si>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</si>
  <si>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</si>
  <si>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</si>
  <si>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</si>
  <si>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</si>
  <si>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</si>
  <si>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</si>
  <si>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</si>
  <si>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</si>
  <si>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</si>
  <si>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</si>
  <si>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</si>
  <si>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</si>
  <si>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</si>
  <si>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</si>
  <si>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</si>
  <si>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</si>
  <si>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</si>
  <si>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</si>
  <si>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</si>
  <si>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</si>
  <si>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</si>
  <si>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</si>
  <si>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</si>
  <si>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</si>
  <si>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</si>
  <si>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</si>
  <si>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</si>
  <si>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</si>
  <si>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</si>
  <si>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</si>
  <si>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</si>
  <si>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</si>
  <si>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</si>
  <si>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</si>
  <si>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</si>
  <si>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</si>
  <si>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</si>
  <si>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</si>
  <si>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</si>
  <si>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</si>
  <si>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</si>
  <si>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</si>
  <si>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</si>
  <si>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</si>
  <si>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</si>
  <si>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</si>
  <si>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</si>
  <si>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</si>
  <si>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</si>
  <si>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</si>
  <si>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</si>
  <si>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</si>
  <si>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</si>
  <si>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</si>
  <si>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</si>
  <si>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</si>
  <si>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</si>
  <si>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</si>
  <si>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</si>
  <si>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</si>
  <si>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</si>
  <si>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</si>
  <si>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</si>
  <si>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</si>
  <si>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</si>
  <si>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</si>
  <si>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</si>
  <si>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</si>
  <si>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</si>
  <si>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</si>
  <si>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</si>
  <si>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</si>
  <si>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</si>
  <si>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</si>
  <si>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</si>
  <si>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</si>
  <si>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</si>
  <si>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</si>
  <si>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</si>
  <si>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</si>
  <si>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</si>
  <si>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</si>
  <si>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</si>
  <si>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</si>
  <si>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</si>
  <si>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</si>
  <si>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</si>
  <si>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</si>
  <si>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</si>
  <si>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</si>
  <si>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</si>
  <si>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</si>
  <si>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</si>
  <si>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</si>
  <si>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</si>
  <si>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</si>
  <si>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</si>
  <si>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</si>
  <si>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</si>
  <si>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</si>
  <si>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</si>
  <si>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</si>
  <si>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</si>
  <si>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</si>
  <si>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</si>
  <si>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</si>
  <si>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</si>
  <si>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</si>
  <si>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</si>
  <si>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</si>
  <si>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</si>
  <si>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</si>
  <si>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</si>
  <si>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</si>
  <si>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</si>
  <si>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</si>
  <si>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</si>
  <si>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</si>
  <si>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</si>
  <si>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</si>
  <si>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</si>
  <si>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</si>
  <si>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</si>
  <si>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</si>
  <si>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</si>
  <si>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</si>
  <si>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</si>
  <si>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</si>
  <si>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</si>
  <si>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</si>
  <si>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</si>
  <si>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</si>
  <si>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</si>
  <si>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</si>
  <si>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</si>
  <si>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</si>
  <si>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</si>
  <si>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</si>
  <si>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</si>
  <si>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</si>
  <si>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</si>
  <si>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</si>
  <si>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</si>
  <si>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</si>
  <si>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</si>
  <si>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</si>
  <si>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</si>
  <si>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</si>
  <si>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</si>
  <si>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</si>
  <si>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</si>
  <si>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</si>
  <si>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</si>
  <si>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</si>
  <si>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</si>
  <si>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</si>
  <si>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</si>
  <si>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</si>
  <si>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</si>
  <si>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</si>
  <si>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</si>
  <si>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</si>
  <si>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</si>
  <si>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</si>
  <si>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</si>
  <si>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</si>
  <si>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</si>
  <si>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</si>
  <si>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</si>
  <si>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</si>
  <si>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</si>
  <si>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</si>
  <si>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</si>
  <si>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</si>
  <si>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</si>
  <si>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</si>
  <si>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</si>
  <si>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</si>
  <si>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</si>
  <si>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</si>
  <si>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</si>
  <si>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</si>
  <si>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 xml:space="preserve">Combined Totals of all Proprietary Funds - Depreciation &amp; Amortization Expense </t>
  </si>
  <si>
    <t>Combined Totals of all Proprietary Funds - Cash Flow from Operating</t>
  </si>
  <si>
    <t>Hospital-EF- Unrestricted Cash &amp; Invest</t>
  </si>
  <si>
    <t xml:space="preserve">Hospital-EF- Total LT Debt (non current portion only) (BS) </t>
  </si>
  <si>
    <t>Hospital-EF- Principal Paid on LTD (SCF)</t>
  </si>
  <si>
    <t>Hospital-EF- Net Patient Revenue (IS)</t>
  </si>
  <si>
    <t>Hospital-EF- Interest expenses (IS)</t>
  </si>
  <si>
    <t>Hospital-EF- Capital Outlays</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</si>
  <si>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</si>
  <si>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</si>
  <si>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</si>
  <si>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</si>
  <si>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</si>
  <si>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</si>
  <si>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</si>
  <si>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</si>
  <si>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</si>
  <si>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Public Housing Authority- HUD Capital grants amount (SCF, don't include operating grants)</t>
  </si>
  <si>
    <t>Public Housing Authority- Amount paid for capital asset acquisition (SCF)</t>
  </si>
  <si>
    <t>Public Housing Authority - Operating income (loss)</t>
  </si>
  <si>
    <t>Units with Water Sewer Operations have. 01</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</si>
  <si>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</si>
  <si>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</si>
  <si>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</si>
  <si>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</si>
  <si>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</si>
  <si>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</si>
  <si>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</si>
  <si>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</si>
  <si>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</si>
  <si>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</si>
  <si>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</si>
  <si>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</si>
  <si>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</si>
  <si>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</si>
  <si>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</si>
  <si>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</si>
  <si>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</si>
  <si>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</si>
  <si>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</si>
  <si>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</si>
  <si>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</si>
  <si>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</si>
  <si>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</si>
  <si>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</si>
  <si>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</si>
  <si>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</si>
  <si>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</si>
  <si>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</si>
  <si>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</si>
  <si>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</si>
  <si>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</si>
  <si>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</si>
  <si>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</si>
  <si>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</si>
  <si>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</si>
  <si>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</si>
  <si>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</si>
  <si>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</si>
  <si>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</si>
  <si>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</si>
  <si>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Gen Fund - Total Expenditures</t>
  </si>
  <si>
    <t>Gen Fund - Proceeds from LTD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</si>
  <si>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</si>
  <si>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</si>
  <si>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</si>
  <si>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</si>
  <si>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</si>
  <si>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</si>
  <si>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</si>
  <si>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</si>
  <si>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</si>
  <si>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</si>
  <si>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</si>
  <si>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</si>
  <si>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</si>
  <si>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</si>
  <si>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</si>
  <si>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</si>
  <si>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</si>
  <si>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</si>
  <si>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</si>
  <si>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</si>
  <si>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GF- Proceeds from all LT debt issuance (COPs, IPs, Notes, CLs, etc.)</t>
  </si>
  <si>
    <t>Hospital-EF - Patient A/Rec, net</t>
  </si>
  <si>
    <t>Hospital-EF- Total Gross Capital Assets (BS), w/o acc. dep.</t>
  </si>
  <si>
    <t xml:space="preserve">Hospital-EF- Unrestricted Fund Equity/Net Assets </t>
  </si>
  <si>
    <t>Electric - Total Current Assets</t>
  </si>
  <si>
    <t>Hospital-EF - Total Operating Revenues</t>
  </si>
  <si>
    <t xml:space="preserve">Hospital-EF- Total Operating Expenses. May include Interest Exp. </t>
  </si>
  <si>
    <t>Gov - Select Current Liabilities</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</si>
  <si>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</si>
  <si>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</si>
  <si>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</si>
  <si>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</si>
  <si>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</si>
  <si>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</si>
  <si>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</si>
  <si>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</si>
  <si>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</si>
  <si>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GF - Advance from</t>
  </si>
  <si>
    <t>Local Curr Exp trx to Fund 8</t>
  </si>
  <si>
    <t>Capital Outlay trx to Fund 8</t>
  </si>
  <si>
    <t>County-supplemental school tax reported in Agency fund</t>
  </si>
  <si>
    <t xml:space="preserve">This is a description question that is retained on the data input tab - This information is not uploaded to CCH or our data base </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</si>
  <si>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</si>
  <si>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</si>
  <si>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</si>
  <si>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</si>
  <si>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</si>
  <si>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</si>
  <si>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</si>
  <si>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</si>
  <si>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</si>
  <si>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</si>
  <si>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</si>
  <si>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</si>
  <si>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</si>
  <si>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</si>
  <si>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</si>
  <si>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</si>
  <si>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</si>
  <si>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</si>
  <si>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</si>
  <si>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</si>
  <si>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</si>
  <si>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</si>
  <si>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</si>
  <si>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</si>
  <si>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</si>
  <si>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</si>
  <si>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yes and "2" for no</t>
  </si>
  <si>
    <t>Debt Issued within next 12 months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</si>
  <si>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</si>
  <si>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</si>
  <si>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</si>
  <si>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</si>
  <si>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</si>
  <si>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</si>
  <si>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</si>
  <si>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</si>
  <si>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</si>
  <si>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</si>
  <si>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</si>
  <si>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</si>
  <si>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</si>
  <si>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</si>
  <si>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</si>
  <si>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</si>
  <si>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</si>
  <si>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</si>
  <si>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</si>
  <si>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Quick Ratio</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</si>
  <si>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</si>
  <si>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</si>
  <si>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</si>
  <si>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</si>
  <si>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</si>
  <si>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</si>
  <si>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</si>
  <si>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</si>
  <si>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</si>
  <si>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</si>
  <si>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</si>
  <si>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</si>
  <si>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</si>
  <si>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</si>
  <si>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</si>
  <si>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</si>
  <si>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</si>
  <si>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</si>
  <si>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</si>
  <si>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</si>
  <si>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</si>
  <si>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</si>
  <si>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</si>
  <si>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</si>
  <si>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</si>
  <si>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</si>
  <si>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</si>
  <si>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</si>
  <si>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</si>
  <si>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</si>
  <si>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</si>
  <si>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</si>
  <si>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</si>
  <si>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</si>
  <si>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</si>
  <si>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</si>
  <si>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</si>
  <si>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</si>
  <si>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</si>
  <si>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</si>
  <si>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</si>
  <si>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</si>
  <si>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</si>
  <si>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</si>
  <si>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</si>
  <si>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</si>
  <si>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</si>
  <si>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</si>
  <si>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</si>
  <si>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</si>
  <si>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</si>
  <si>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</si>
  <si>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</si>
  <si>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</si>
  <si>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</si>
  <si>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</si>
  <si>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</si>
  <si>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</si>
  <si>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</si>
  <si>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</si>
  <si>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</si>
  <si>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</si>
  <si>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</si>
  <si>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</si>
  <si>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</si>
  <si>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</si>
  <si>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</si>
  <si>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</si>
  <si>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</si>
  <si>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</si>
  <si>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</si>
  <si>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</si>
  <si>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</si>
  <si>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</si>
  <si>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</si>
  <si>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</si>
  <si>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</si>
  <si>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</si>
  <si>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Hospital-EF- Change in Net Assets</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</si>
  <si>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</si>
  <si>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</si>
  <si>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</si>
  <si>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</si>
  <si>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</si>
  <si>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</si>
  <si>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</si>
  <si>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</si>
  <si>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</si>
  <si>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</si>
  <si>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</si>
  <si>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</si>
  <si>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</si>
  <si>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</si>
  <si>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</si>
  <si>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</si>
  <si>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</si>
  <si>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</si>
  <si>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</si>
  <si>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</si>
  <si>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</si>
  <si>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</si>
  <si>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</si>
  <si>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</si>
  <si>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</si>
  <si>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</si>
  <si>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</si>
  <si>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</si>
  <si>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</si>
  <si>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</si>
  <si>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</si>
  <si>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</si>
  <si>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</si>
  <si>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</si>
  <si>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</si>
  <si>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</si>
  <si>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</si>
  <si>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</si>
  <si>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</si>
  <si>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</si>
  <si>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</si>
  <si>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</si>
  <si>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</si>
  <si>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</si>
  <si>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</si>
  <si>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</si>
  <si>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</si>
  <si>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</si>
  <si>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</si>
  <si>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</si>
  <si>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</si>
  <si>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</si>
  <si>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</si>
  <si>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</si>
  <si>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</si>
  <si>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</si>
  <si>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</si>
  <si>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</si>
  <si>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</si>
  <si>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</si>
  <si>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</si>
  <si>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</si>
  <si>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</si>
  <si>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</si>
  <si>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</si>
  <si>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</si>
  <si>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</si>
  <si>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</si>
  <si>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</si>
  <si>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</si>
  <si>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</si>
  <si>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</si>
  <si>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</si>
  <si>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</si>
  <si>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</si>
  <si>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Data not collected in 2020</t>
  </si>
  <si>
    <t>No Revaluation with next two years</t>
  </si>
  <si>
    <t>Unsure</t>
  </si>
  <si>
    <t>Electric Transfer Calculation</t>
  </si>
  <si>
    <t>Amount of transfer out to the General Fund that is for Payment in Lieu of Taxes (PILOT)</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</si>
  <si>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</si>
  <si>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</si>
  <si>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</si>
  <si>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</si>
  <si>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</si>
  <si>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</si>
  <si>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</si>
  <si>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Unit Number:</t>
  </si>
  <si>
    <t>Explanation of Performance Indicator</t>
  </si>
  <si>
    <t>Equal or greater than 1</t>
  </si>
  <si>
    <t>The unit must address the material and/or significant findings or any other findings that the auditor reported to them.</t>
  </si>
  <si>
    <t>Less than 3%</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</si>
  <si>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</si>
  <si>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</si>
  <si>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</si>
  <si>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</si>
  <si>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</si>
  <si>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</si>
  <si>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</si>
  <si>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</si>
  <si>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</si>
  <si>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</si>
  <si>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</si>
  <si>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</si>
  <si>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</si>
  <si>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</si>
  <si>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</si>
  <si>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</si>
  <si>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</si>
  <si>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</si>
  <si>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</si>
  <si>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</si>
  <si>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</si>
  <si>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</si>
  <si>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</si>
  <si>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</si>
  <si>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</si>
  <si>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</si>
  <si>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</si>
  <si>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</si>
  <si>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</si>
  <si>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</si>
  <si>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</si>
  <si>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</si>
  <si>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</si>
  <si>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</si>
  <si>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</si>
  <si>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</si>
  <si>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</si>
  <si>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</si>
  <si>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</si>
  <si>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</si>
  <si>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</si>
  <si>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</si>
  <si>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</si>
  <si>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</si>
  <si>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</si>
  <si>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</si>
  <si>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</si>
  <si>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</si>
  <si>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</si>
  <si>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</si>
  <si>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</si>
  <si>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</si>
  <si>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</si>
  <si>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</si>
  <si>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</si>
  <si>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</si>
  <si>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</si>
  <si>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</si>
  <si>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</si>
  <si>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</si>
  <si>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</si>
  <si>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</si>
  <si>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</si>
  <si>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</si>
  <si>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</si>
  <si>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</si>
  <si>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</si>
  <si>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</si>
  <si>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</si>
  <si>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</si>
  <si>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</si>
  <si>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</si>
  <si>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</si>
  <si>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</si>
  <si>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</si>
  <si>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</si>
  <si>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34% -- Average of similar units is 68%</t>
  </si>
  <si>
    <t>25% -- Average of similar units is 50%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</si>
  <si>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</si>
  <si>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</si>
  <si>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</si>
  <si>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</si>
  <si>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</si>
  <si>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</si>
  <si>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</si>
  <si>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</si>
  <si>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</si>
  <si>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</si>
  <si>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</si>
  <si>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</si>
  <si>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</si>
  <si>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</si>
  <si>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</si>
  <si>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</si>
  <si>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</si>
  <si>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</si>
  <si>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</si>
  <si>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</si>
  <si>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</si>
  <si>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</si>
  <si>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</si>
  <si>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</si>
  <si>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</si>
  <si>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</si>
  <si>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</si>
  <si>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</si>
  <si>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</si>
  <si>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</si>
  <si>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</si>
  <si>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</si>
  <si>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</si>
  <si>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</si>
  <si>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</si>
  <si>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</si>
  <si>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</si>
  <si>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</si>
  <si>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</si>
  <si>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</si>
  <si>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</si>
  <si>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</si>
  <si>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</si>
  <si>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</si>
  <si>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</si>
  <si>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</si>
  <si>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</si>
  <si>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</si>
  <si>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</si>
  <si>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</si>
  <si>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</si>
  <si>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</si>
  <si>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</si>
  <si>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</si>
  <si>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</si>
  <si>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</si>
  <si>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</si>
  <si>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</si>
  <si>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</si>
  <si>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</si>
  <si>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</si>
  <si>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</si>
  <si>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</si>
  <si>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</si>
  <si>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</si>
  <si>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</si>
  <si>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</si>
  <si>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</si>
  <si>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Enterprise Funds: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</si>
  <si>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</si>
  <si>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</si>
  <si>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</si>
  <si>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</si>
  <si>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</si>
  <si>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</si>
  <si>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</si>
  <si>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</si>
  <si>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</si>
  <si>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</si>
  <si>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</si>
  <si>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</si>
  <si>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</si>
  <si>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</si>
  <si>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</si>
  <si>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</si>
  <si>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</si>
  <si>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</si>
  <si>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</si>
  <si>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</si>
  <si>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</si>
  <si>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</si>
  <si>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</si>
  <si>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</si>
  <si>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</si>
  <si>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</si>
  <si>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</si>
  <si>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</si>
  <si>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</si>
  <si>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</si>
  <si>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</si>
  <si>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</si>
  <si>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</si>
  <si>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</si>
  <si>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</si>
  <si>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</si>
  <si>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</si>
  <si>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</si>
  <si>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</si>
  <si>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</si>
  <si>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</si>
  <si>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</si>
  <si>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</si>
  <si>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</si>
  <si>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</si>
  <si>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</si>
  <si>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</si>
  <si>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</si>
  <si>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</si>
  <si>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</si>
  <si>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</si>
  <si>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</si>
  <si>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</si>
  <si>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</si>
  <si>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</si>
  <si>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</si>
  <si>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</si>
  <si>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</si>
  <si>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</si>
  <si>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</si>
  <si>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</si>
  <si>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</si>
  <si>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</si>
  <si>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</si>
  <si>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</si>
  <si>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</si>
  <si>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</si>
  <si>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</si>
  <si>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</si>
  <si>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</si>
  <si>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</si>
  <si>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</si>
  <si>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</si>
  <si>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</si>
  <si>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</si>
  <si>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</si>
  <si>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</si>
  <si>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</si>
  <si>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</si>
  <si>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</si>
  <si>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</si>
  <si>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</si>
  <si>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</si>
  <si>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</si>
  <si>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</si>
  <si>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</si>
  <si>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</si>
  <si>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</si>
  <si>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</si>
  <si>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</si>
  <si>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</si>
  <si>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</si>
  <si>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</si>
  <si>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</si>
  <si>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</si>
  <si>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</si>
  <si>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</si>
  <si>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</si>
  <si>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</si>
  <si>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</si>
  <si>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</si>
  <si>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</si>
  <si>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</si>
  <si>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</si>
  <si>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</si>
  <si>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</si>
  <si>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</si>
  <si>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</si>
  <si>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</si>
  <si>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</si>
  <si>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</si>
  <si>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</si>
  <si>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</si>
  <si>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</si>
  <si>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</si>
  <si>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</si>
  <si>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</si>
  <si>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</si>
  <si>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</si>
  <si>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</si>
  <si>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</si>
  <si>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</si>
  <si>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</si>
  <si>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</si>
  <si>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</si>
  <si>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</si>
  <si>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</si>
  <si>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</si>
  <si>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</si>
  <si>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</si>
  <si>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</si>
  <si>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</si>
  <si>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</si>
  <si>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</si>
  <si>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</si>
  <si>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</si>
  <si>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</si>
  <si>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</si>
  <si>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</si>
  <si>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</si>
  <si>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</si>
  <si>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</si>
  <si>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</si>
  <si>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</si>
  <si>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</si>
  <si>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</si>
  <si>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</si>
  <si>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</si>
  <si>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</si>
  <si>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</si>
  <si>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</si>
  <si>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</si>
  <si>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</si>
  <si>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</si>
  <si>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</si>
  <si>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</si>
  <si>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</si>
  <si>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</si>
  <si>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</si>
  <si>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</si>
  <si>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</si>
  <si>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</si>
  <si>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</si>
  <si>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</si>
  <si>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</si>
  <si>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</si>
  <si>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</si>
  <si>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</si>
  <si>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</si>
  <si>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</si>
  <si>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</si>
  <si>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</si>
  <si>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</si>
  <si>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</si>
  <si>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</si>
  <si>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</si>
  <si>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</si>
  <si>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</si>
  <si>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</si>
  <si>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</si>
  <si>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</si>
  <si>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</si>
  <si>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</si>
  <si>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</si>
  <si>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</si>
  <si>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</si>
  <si>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</si>
  <si>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</si>
  <si>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</si>
  <si>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</si>
  <si>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</si>
  <si>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</si>
  <si>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</si>
  <si>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</si>
  <si>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</si>
  <si>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</si>
  <si>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</si>
  <si>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</si>
  <si>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</si>
  <si>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</si>
  <si>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</si>
  <si>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</si>
  <si>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</si>
  <si>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</si>
  <si>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</si>
  <si>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</si>
  <si>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</si>
  <si>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</si>
  <si>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</si>
  <si>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</si>
  <si>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</si>
  <si>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</si>
  <si>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</si>
  <si>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</si>
  <si>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</si>
  <si>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</si>
  <si>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</si>
  <si>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</si>
  <si>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</si>
  <si>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</si>
  <si>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</si>
  <si>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</si>
  <si>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</si>
  <si>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</si>
  <si>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</si>
  <si>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</si>
  <si>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</si>
  <si>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</si>
  <si>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</si>
  <si>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</si>
  <si>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</si>
  <si>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</si>
  <si>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</si>
  <si>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</si>
  <si>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</si>
  <si>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Select Unit Name from Drop Down List</t>
  </si>
  <si>
    <t>Section 1: Data Collection NOTE:  the data submitted below may be used in various published reports</t>
  </si>
  <si>
    <t>The  name of the Primary Government for the file name and in question 1 should not contain the words "Town of", Village of" etc…..The City of Dogwood = Dogwood</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</si>
  <si>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</si>
  <si>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</si>
  <si>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</si>
  <si>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</si>
  <si>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</si>
  <si>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</si>
  <si>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</si>
  <si>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</si>
  <si>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</si>
  <si>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</si>
  <si>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</si>
  <si>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</si>
  <si>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</si>
  <si>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</si>
  <si>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</si>
  <si>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</si>
  <si>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</si>
  <si>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</si>
  <si>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</si>
  <si>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</si>
  <si>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</si>
  <si>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</si>
  <si>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</si>
  <si>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</si>
  <si>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</si>
  <si>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</si>
  <si>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</si>
  <si>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</si>
  <si>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</si>
  <si>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</si>
  <si>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</si>
  <si>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</si>
  <si>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</si>
  <si>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</si>
  <si>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</si>
  <si>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</si>
  <si>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</si>
  <si>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</si>
  <si>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</si>
  <si>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</si>
  <si>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</si>
  <si>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</si>
  <si>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</si>
  <si>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</si>
  <si>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Use on upload template</t>
  </si>
  <si>
    <t>Comb-Proprietary Funds-Current Assets less any restricted assets. Do not include deferred outflows.</t>
  </si>
  <si>
    <t>Comb-Proprietary Funds - Current Liabilities</t>
  </si>
  <si>
    <t>GF- Total expenditures. Enter as positive.</t>
  </si>
  <si>
    <t>Combined Total of all Proprietary Funds - Change in Net Position</t>
  </si>
  <si>
    <t>Electric-EF- Current Assets (unrestricted, excl. inventory and prepaids)</t>
  </si>
  <si>
    <t>Electric - Change in Net Assets</t>
  </si>
  <si>
    <t>Electric Net Transfers in(out) to GF</t>
  </si>
  <si>
    <t>Electric - Gross Capital Assets</t>
  </si>
  <si>
    <t>OPEB- Net OPEB obligation, ending</t>
  </si>
  <si>
    <t>OPEB- Annual OPEB cost(expense)</t>
  </si>
  <si>
    <t>OPEB- Total UAAL (unfunded actuarial accrued liability)</t>
  </si>
  <si>
    <t>OPEB- ARC (annual required contribution)</t>
  </si>
  <si>
    <t>OPEB- UAAL as % of covered payroll</t>
  </si>
  <si>
    <t>WS- Net Infrastructure Capital Assets</t>
  </si>
  <si>
    <t>GA- Total Depreciable capital assets, gross (no non-depreciable CA)(Notes)</t>
  </si>
  <si>
    <t>GA- Total LTD (ST &amp;LT, include BANs; No Comp Abs, Pension, OPEB)(Notes) Enter as positive.</t>
  </si>
  <si>
    <t>GA- Total Program revenues (positive only)(SOA)</t>
  </si>
  <si>
    <t>Electric - Total Assets</t>
  </si>
  <si>
    <t>Cash and Investment - Bond Proceeds - All Funds</t>
  </si>
  <si>
    <t>Hospital - Budget required have $.02</t>
  </si>
  <si>
    <t>Hospital - Contract required have $.03</t>
  </si>
  <si>
    <t>TD - auditor</t>
  </si>
  <si>
    <t>TD -Internal</t>
  </si>
  <si>
    <t>total expenditures for FBA Calculation</t>
  </si>
  <si>
    <t>should equal column E on 2021 DIW</t>
  </si>
  <si>
    <t>The State and Local Government Finance Division did not create any Performance Indicators for Boards of Education for Fiscal Year 2021</t>
  </si>
  <si>
    <t>Please indicate if you expect your revaluation to increase, decrease, or no change.  If you are not listed please select N/A</t>
  </si>
  <si>
    <t>Kannapolis City Schools</t>
  </si>
  <si>
    <t>Lee County Schools</t>
  </si>
  <si>
    <t>Lenoir County Schools</t>
  </si>
  <si>
    <t>Lexington City Schools</t>
  </si>
  <si>
    <t>Lincoln County Schools</t>
  </si>
  <si>
    <t>Macon County Schools</t>
  </si>
  <si>
    <t>Madison County Schools</t>
  </si>
  <si>
    <t>Martin County Schools</t>
  </si>
  <si>
    <t>Mcdowell County Schools</t>
  </si>
  <si>
    <t>Mitchell County Schools</t>
  </si>
  <si>
    <t>Montgomery County Schools</t>
  </si>
  <si>
    <t>Moore County Schools</t>
  </si>
  <si>
    <t>Mooresville Graded School District</t>
  </si>
  <si>
    <t>Mount Airy City Schools</t>
  </si>
  <si>
    <t>North East Regional School of Biotechnology and Agriscience</t>
  </si>
  <si>
    <t>Nash/Rocky Mount Schools</t>
  </si>
  <si>
    <t>New Hanover County Schools</t>
  </si>
  <si>
    <t>Newton/Conover City Schools</t>
  </si>
  <si>
    <t>Northampton County Schools</t>
  </si>
  <si>
    <t>Onslow County Schools</t>
  </si>
  <si>
    <t>Orange County Schools</t>
  </si>
  <si>
    <t>Pamlico County Schools</t>
  </si>
  <si>
    <t>Pender County Schools</t>
  </si>
  <si>
    <t>Perquimans County Schools</t>
  </si>
  <si>
    <t>Person County Schools</t>
  </si>
  <si>
    <t>Pitt County Schools</t>
  </si>
  <si>
    <t>Polk County Schools</t>
  </si>
  <si>
    <t>Randolph County Schools</t>
  </si>
  <si>
    <t>Richmond County Schools</t>
  </si>
  <si>
    <t>Roanoke Rapids City Schools</t>
  </si>
  <si>
    <t>Robeson County Schools</t>
  </si>
  <si>
    <t>Rockingham County Schools</t>
  </si>
  <si>
    <t>Rowan County/Salisbury City Schools</t>
  </si>
  <si>
    <t>Rutherford County Schools</t>
  </si>
  <si>
    <t>Sampson County Schools</t>
  </si>
  <si>
    <t>Scotland County Schools</t>
  </si>
  <si>
    <t>Stanly County Schools</t>
  </si>
  <si>
    <t>Stokes County Schools</t>
  </si>
  <si>
    <t>Surry County Schools</t>
  </si>
  <si>
    <t>Swain County Schools</t>
  </si>
  <si>
    <t>Thomasville City Schools</t>
  </si>
  <si>
    <t>Transylvania County Schools</t>
  </si>
  <si>
    <t>Tyrrell County Schools</t>
  </si>
  <si>
    <t>Union County Schools</t>
  </si>
  <si>
    <t>Vance County Schools</t>
  </si>
  <si>
    <t>Wake County Schools</t>
  </si>
  <si>
    <t>Warren County Schools</t>
  </si>
  <si>
    <t>Washington County Schools</t>
  </si>
  <si>
    <t>Watauga County Schools</t>
  </si>
  <si>
    <t>Wayne County Public Schools</t>
  </si>
  <si>
    <t>Weldon City Schools</t>
  </si>
  <si>
    <t>Whiteville City Schools</t>
  </si>
  <si>
    <t>Wilkes County Schools</t>
  </si>
  <si>
    <t>Wilson County Schools</t>
  </si>
  <si>
    <t>Winston-Salem/Forsyth County Schools</t>
  </si>
  <si>
    <t>Yadkin County Schools</t>
  </si>
  <si>
    <t>Yancey County Schools</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</si>
  <si>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</si>
  <si>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</si>
  <si>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</si>
  <si>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</si>
  <si>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</si>
  <si>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</si>
  <si>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</si>
  <si>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</si>
  <si>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</si>
  <si>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</si>
  <si>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</si>
  <si>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</si>
  <si>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</si>
  <si>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</si>
  <si>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</si>
  <si>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</si>
  <si>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</si>
  <si>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</si>
  <si>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</si>
  <si>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</si>
  <si>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</si>
  <si>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</si>
  <si>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</si>
  <si>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</si>
  <si>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</si>
  <si>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</si>
  <si>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</si>
  <si>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Electric - Any Adj. to Beginning Net Assets</t>
  </si>
  <si>
    <t>Net OPEB Liability</t>
  </si>
  <si>
    <t>Master Upload</t>
  </si>
  <si>
    <t>Data Import 2020</t>
  </si>
  <si>
    <t>do not delete row</t>
  </si>
  <si>
    <t>71% -- Average of similar units is 142%</t>
  </si>
  <si>
    <t xml:space="preserve">                                    -  </t>
  </si>
  <si>
    <t xml:space="preserve">                                      -  </t>
  </si>
  <si>
    <t xml:space="preserve">                                             -  </t>
  </si>
  <si>
    <t xml:space="preserve">                                        -  </t>
  </si>
  <si>
    <t>electric Gross Capital Assets</t>
  </si>
  <si>
    <t>Not on import tab, only loaded to SQL</t>
  </si>
  <si>
    <t>2020 Data(H)</t>
  </si>
  <si>
    <t>2019 Data(H)</t>
  </si>
  <si>
    <t>I</t>
  </si>
  <si>
    <t xml:space="preserve">Do you operate a landfill that will be closing  or have a significant portion closing within the next 5 years </t>
  </si>
  <si>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</si>
  <si>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</si>
  <si>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</si>
  <si>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</si>
  <si>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</si>
  <si>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</si>
  <si>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</si>
  <si>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</si>
  <si>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</si>
  <si>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</si>
  <si>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</si>
  <si>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</si>
  <si>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</si>
  <si>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</si>
  <si>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</si>
  <si>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</si>
  <si>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</si>
  <si>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</si>
  <si>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</si>
  <si>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</si>
  <si>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</si>
  <si>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</si>
  <si>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</si>
  <si>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</si>
  <si>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</si>
  <si>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</si>
  <si>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</si>
  <si>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t>Please do not enter prior's years beginning balance as an adjustment in column F.</t>
  </si>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</sst>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 numFmtId="185" formatCode="0.00_);[Red]\(0.00\)"/>
  </numFmts>
  <fonts count="21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i/>
      <sz val="14"/>
      <color theme="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theme="1"/>
      <name val="Century Schoolbook"/>
      <family val="2"/>
    </font>
    <font>
      <b/>
      <sz val="10"/>
      <color indexed="8"/>
      <name val="Calibri"/>
      <family val="2"/>
      <scheme val="minor"/>
    </font>
    <font>
      <b/>
      <sz val="10"/>
      <color indexed="8"/>
      <name val="Century Schoolbook"/>
      <family val="2"/>
    </font>
    <font>
      <b/>
      <sz val="11"/>
      <name val="Calibri"/>
      <family val="2"/>
    </font>
    <font>
      <b/>
      <sz val="11"/>
      <color indexed="8"/>
      <name val="Century Schoolbook"/>
      <family val="1"/>
    </font>
    <font>
      <sz val="10"/>
      <name val="Arial"/>
      <family val="2"/>
    </font>
    <font>
      <sz val="36"/>
      <color theme="1"/>
      <name val="Calibri"/>
      <family val="2"/>
      <scheme val="minor"/>
    </font>
    <font>
      <sz val="8"/>
      <name val="Arial"/>
      <family val="2"/>
    </font>
    <font>
      <sz val="10"/>
      <name val="Arial"/>
      <family val="2"/>
    </font>
    <font>
      <sz val="12"/>
      <name val="Garamond"/>
      <family val="1"/>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rgb="FF99FFCC"/>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indexed="64"/>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right/>
      <top style="thin">
        <color theme="0"/>
      </top>
      <bottom style="thin">
        <color indexed="64"/>
      </bottom>
      <diagonal/>
    </border>
    <border>
      <left style="thin">
        <color theme="1" tint="0.499984740745262"/>
      </left>
      <right/>
      <top style="thin">
        <color theme="1" tint="0.499984740745262"/>
      </top>
      <bottom/>
      <diagonal/>
    </border>
  </borders>
  <cellStyleXfs count="3216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8" fillId="0" borderId="0"/>
    <xf numFmtId="0" fontId="68" fillId="0" borderId="0"/>
    <xf numFmtId="0" fontId="67" fillId="0" borderId="0"/>
    <xf numFmtId="0" fontId="68" fillId="0" borderId="0"/>
    <xf numFmtId="0" fontId="68" fillId="0" borderId="0"/>
    <xf numFmtId="0" fontId="69" fillId="0" borderId="0"/>
    <xf numFmtId="0" fontId="6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11"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21"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11"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69" fillId="0" borderId="0"/>
    <xf numFmtId="0" fontId="33" fillId="0" borderId="0"/>
    <xf numFmtId="0" fontId="33" fillId="0" borderId="0"/>
    <xf numFmtId="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8"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9"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8"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3" fillId="0" borderId="47" applyNumberFormat="0" applyFill="0" applyAlignment="0" applyProtection="0"/>
    <xf numFmtId="0" fontId="74" fillId="0" borderId="48" applyNumberFormat="0" applyFill="0" applyAlignment="0" applyProtection="0"/>
    <xf numFmtId="0" fontId="75" fillId="0" borderId="49" applyNumberFormat="0" applyFill="0" applyAlignment="0" applyProtection="0"/>
    <xf numFmtId="0" fontId="75" fillId="0" borderId="0" applyNumberFormat="0" applyFill="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8" fillId="40" borderId="50" applyNumberFormat="0" applyAlignment="0" applyProtection="0"/>
    <xf numFmtId="0" fontId="79" fillId="41" borderId="51" applyNumberFormat="0" applyAlignment="0" applyProtection="0"/>
    <xf numFmtId="0" fontId="80" fillId="41" borderId="50" applyNumberFormat="0" applyAlignment="0" applyProtection="0"/>
    <xf numFmtId="0" fontId="81" fillId="0" borderId="52" applyNumberFormat="0" applyFill="0" applyAlignment="0" applyProtection="0"/>
    <xf numFmtId="0" fontId="82" fillId="42" borderId="53" applyNumberFormat="0" applyAlignment="0" applyProtection="0"/>
    <xf numFmtId="0" fontId="70" fillId="0" borderId="0" applyNumberFormat="0" applyFill="0" applyBorder="0" applyAlignment="0" applyProtection="0"/>
    <xf numFmtId="0" fontId="39" fillId="0" borderId="55" applyNumberFormat="0" applyFill="0" applyAlignment="0" applyProtection="0"/>
    <xf numFmtId="0" fontId="83" fillId="44" borderId="0" applyNumberFormat="0" applyBorder="0" applyAlignment="0" applyProtection="0"/>
    <xf numFmtId="0" fontId="83"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2" fillId="39" borderId="0" applyNumberFormat="0" applyBorder="0" applyAlignment="0" applyProtection="0"/>
    <xf numFmtId="0" fontId="33" fillId="43" borderId="54" applyNumberFormat="0" applyFont="0" applyAlignment="0" applyProtection="0"/>
    <xf numFmtId="40" fontId="85" fillId="0" borderId="17">
      <alignment horizontal="right"/>
    </xf>
    <xf numFmtId="0" fontId="86" fillId="0" borderId="0">
      <alignment horizontal="left"/>
    </xf>
    <xf numFmtId="49" fontId="11" fillId="0" borderId="0"/>
    <xf numFmtId="0" fontId="86" fillId="0" borderId="0">
      <alignment horizontal="left"/>
    </xf>
    <xf numFmtId="177" fontId="85" fillId="0" borderId="17">
      <alignment horizontal="right"/>
    </xf>
    <xf numFmtId="49" fontId="85"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4" fillId="50" borderId="0">
      <alignment horizontal="right" vertical="center"/>
    </xf>
    <xf numFmtId="49" fontId="84" fillId="50" borderId="0">
      <alignment horizontal="left" vertical="center"/>
    </xf>
    <xf numFmtId="49" fontId="84" fillId="50" borderId="0">
      <alignment horizontal="center" vertical="center"/>
    </xf>
    <xf numFmtId="49" fontId="84" fillId="50" borderId="0">
      <alignment horizontal="center" vertical="center"/>
    </xf>
    <xf numFmtId="49" fontId="84" fillId="50" borderId="0">
      <alignment horizontal="right" vertical="center"/>
    </xf>
    <xf numFmtId="40" fontId="84" fillId="50" borderId="0">
      <alignment horizontal="right"/>
    </xf>
    <xf numFmtId="49" fontId="84"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4" fillId="50" borderId="0">
      <alignment horizontal="center" vertical="center"/>
    </xf>
    <xf numFmtId="49" fontId="84" fillId="50" borderId="0">
      <alignment horizontal="center" vertical="center"/>
    </xf>
    <xf numFmtId="177" fontId="84" fillId="50" borderId="0">
      <alignment horizontal="center" vertical="center"/>
    </xf>
    <xf numFmtId="49" fontId="84" fillId="50" borderId="0">
      <alignment horizontal="right"/>
    </xf>
    <xf numFmtId="40" fontId="85" fillId="0" borderId="19">
      <alignment horizontal="right"/>
    </xf>
    <xf numFmtId="0" fontId="86" fillId="0" borderId="0">
      <alignment horizontal="left"/>
    </xf>
    <xf numFmtId="49" fontId="11" fillId="0" borderId="0"/>
    <xf numFmtId="0" fontId="86" fillId="0" borderId="0">
      <alignment horizontal="left"/>
    </xf>
    <xf numFmtId="177" fontId="85" fillId="0" borderId="19">
      <alignment horizontal="right"/>
    </xf>
    <xf numFmtId="49" fontId="85" fillId="0" borderId="0">
      <alignment horizontal="right"/>
    </xf>
    <xf numFmtId="49" fontId="11" fillId="0" borderId="0"/>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5" fillId="51" borderId="0">
      <alignment horizontal="center" vertical="center"/>
    </xf>
    <xf numFmtId="49" fontId="11" fillId="51" borderId="0">
      <alignment horizontal="left" vertical="center"/>
    </xf>
    <xf numFmtId="49" fontId="85" fillId="51" borderId="0">
      <alignment horizontal="center" vertical="center"/>
    </xf>
    <xf numFmtId="0" fontId="85" fillId="52" borderId="0">
      <alignment horizontal="left"/>
    </xf>
    <xf numFmtId="49" fontId="11" fillId="0" borderId="0"/>
    <xf numFmtId="0" fontId="85" fillId="52" borderId="0">
      <alignment horizontal="left"/>
    </xf>
    <xf numFmtId="40" fontId="85" fillId="0" borderId="0">
      <alignment horizontal="right"/>
    </xf>
    <xf numFmtId="49" fontId="84" fillId="50" borderId="0"/>
    <xf numFmtId="49" fontId="84" fillId="50" borderId="0"/>
    <xf numFmtId="49" fontId="11" fillId="0" borderId="0"/>
    <xf numFmtId="0" fontId="87" fillId="53"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50" borderId="0">
      <alignment horizontal="left"/>
    </xf>
    <xf numFmtId="0" fontId="89" fillId="50"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4" borderId="0">
      <alignment horizontal="left"/>
    </xf>
    <xf numFmtId="0" fontId="91" fillId="54" borderId="0">
      <alignment horizontal="left"/>
    </xf>
    <xf numFmtId="40" fontId="85" fillId="0" borderId="0">
      <alignment horizontal="right"/>
    </xf>
    <xf numFmtId="0" fontId="86" fillId="0" borderId="0">
      <alignment horizontal="left"/>
    </xf>
    <xf numFmtId="49" fontId="11" fillId="0" borderId="0"/>
    <xf numFmtId="0" fontId="86" fillId="0" borderId="0">
      <alignment horizontal="left"/>
    </xf>
    <xf numFmtId="177" fontId="85" fillId="0" borderId="0">
      <alignment horizontal="right"/>
    </xf>
    <xf numFmtId="49" fontId="85" fillId="0" borderId="0" applyBorder="0">
      <alignment horizontal="right"/>
    </xf>
    <xf numFmtId="0" fontId="11" fillId="0" borderId="0"/>
    <xf numFmtId="49" fontId="93" fillId="53" borderId="0">
      <alignment horizontal="left"/>
    </xf>
    <xf numFmtId="49" fontId="93" fillId="53" borderId="0">
      <alignment horizontal="left"/>
    </xf>
    <xf numFmtId="0" fontId="94" fillId="53" borderId="0">
      <alignment horizontal="left"/>
    </xf>
    <xf numFmtId="178" fontId="94" fillId="53" borderId="0">
      <alignment horizontal="left"/>
    </xf>
    <xf numFmtId="40" fontId="85" fillId="0" borderId="0">
      <alignment horizontal="right"/>
    </xf>
    <xf numFmtId="49" fontId="95" fillId="53" borderId="0">
      <alignment horizontal="left"/>
    </xf>
    <xf numFmtId="49" fontId="95" fillId="53" borderId="0">
      <alignment horizontal="left"/>
    </xf>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0" fontId="85" fillId="0" borderId="14">
      <alignment horizontal="right"/>
    </xf>
    <xf numFmtId="0" fontId="85" fillId="52" borderId="0">
      <alignment horizontal="left"/>
    </xf>
    <xf numFmtId="49" fontId="11" fillId="0" borderId="0"/>
    <xf numFmtId="0" fontId="85" fillId="52" borderId="0">
      <alignment horizontal="left"/>
    </xf>
    <xf numFmtId="177"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9"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1" fillId="0" borderId="0"/>
    <xf numFmtId="49" fontId="85" fillId="0" borderId="0">
      <alignment horizontal="left"/>
    </xf>
    <xf numFmtId="177" fontId="85" fillId="0" borderId="18">
      <alignment horizontal="right"/>
    </xf>
    <xf numFmtId="49" fontId="85"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6"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3" fillId="57" borderId="0" applyNumberFormat="0" applyBorder="0" applyAlignment="0" applyProtection="0"/>
    <xf numFmtId="0" fontId="97" fillId="57" borderId="0" applyNumberFormat="0" applyBorder="0" applyAlignment="0" applyProtection="0"/>
    <xf numFmtId="0" fontId="83" fillId="60" borderId="0" applyNumberFormat="0" applyBorder="0" applyAlignment="0" applyProtection="0"/>
    <xf numFmtId="0" fontId="97" fillId="60" borderId="0" applyNumberFormat="0" applyBorder="0" applyAlignment="0" applyProtection="0"/>
    <xf numFmtId="0" fontId="83" fillId="63" borderId="0" applyNumberFormat="0" applyBorder="0" applyAlignment="0" applyProtection="0"/>
    <xf numFmtId="0" fontId="97" fillId="63" borderId="0" applyNumberFormat="0" applyBorder="0" applyAlignment="0" applyProtection="0"/>
    <xf numFmtId="0" fontId="83" fillId="66" borderId="0" applyNumberFormat="0" applyBorder="0" applyAlignment="0" applyProtection="0"/>
    <xf numFmtId="0" fontId="97" fillId="66" borderId="0" applyNumberFormat="0" applyBorder="0" applyAlignment="0" applyProtection="0"/>
    <xf numFmtId="0" fontId="83" fillId="69" borderId="0" applyNumberFormat="0" applyBorder="0" applyAlignment="0" applyProtection="0"/>
    <xf numFmtId="0" fontId="97" fillId="69" borderId="0" applyNumberFormat="0" applyBorder="0" applyAlignment="0" applyProtection="0"/>
    <xf numFmtId="0" fontId="83" fillId="72" borderId="0" applyNumberFormat="0" applyBorder="0" applyAlignment="0" applyProtection="0"/>
    <xf numFmtId="0" fontId="97" fillId="72"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8" fillId="38" borderId="0" applyNumberFormat="0" applyBorder="0" applyAlignment="0" applyProtection="0"/>
    <xf numFmtId="0" fontId="99" fillId="41" borderId="50" applyNumberFormat="0" applyAlignment="0" applyProtection="0"/>
    <xf numFmtId="0" fontId="100"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1" fillId="0" borderId="0" applyNumberFormat="0" applyFill="0" applyBorder="0" applyAlignment="0" applyProtection="0"/>
    <xf numFmtId="0" fontId="102" fillId="37" borderId="0" applyNumberFormat="0" applyBorder="0" applyAlignment="0" applyProtection="0"/>
    <xf numFmtId="0" fontId="103" fillId="0" borderId="47" applyNumberFormat="0" applyFill="0" applyAlignment="0" applyProtection="0"/>
    <xf numFmtId="0" fontId="104"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5" fillId="0" borderId="49" applyNumberFormat="0" applyFill="0" applyAlignment="0" applyProtection="0"/>
    <xf numFmtId="0" fontId="105" fillId="0" borderId="0" applyNumberFormat="0" applyFill="0" applyBorder="0" applyAlignment="0" applyProtection="0"/>
    <xf numFmtId="0" fontId="106" fillId="40" borderId="50" applyNumberFormat="0" applyAlignment="0" applyProtection="0"/>
    <xf numFmtId="0" fontId="107" fillId="0" borderId="52" applyNumberFormat="0" applyFill="0" applyAlignment="0" applyProtection="0"/>
    <xf numFmtId="0" fontId="108"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9" fillId="41" borderId="51"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55" applyNumberFormat="0" applyFill="0" applyAlignment="0" applyProtection="0"/>
    <xf numFmtId="0" fontId="112" fillId="0" borderId="0" applyNumberFormat="0" applyFill="0" applyBorder="0" applyAlignment="0" applyProtection="0"/>
    <xf numFmtId="0" fontId="115" fillId="0" borderId="0"/>
    <xf numFmtId="43" fontId="116" fillId="0" borderId="0" applyFont="0" applyFill="0" applyBorder="0" applyAlignment="0" applyProtection="0"/>
    <xf numFmtId="0" fontId="11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7" fillId="0" borderId="0" applyNumberFormat="0" applyFill="0" applyBorder="0" applyAlignment="0" applyProtection="0">
      <alignment vertical="top"/>
      <protection locked="0"/>
    </xf>
    <xf numFmtId="0" fontId="118" fillId="0" borderId="0" applyNumberFormat="0" applyFill="0" applyBorder="0" applyAlignment="0" applyProtection="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6" fillId="0" borderId="0"/>
    <xf numFmtId="0" fontId="1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7" fillId="0" borderId="0"/>
    <xf numFmtId="43" fontId="115" fillId="0" borderId="0" applyFont="0" applyFill="0" applyBorder="0" applyAlignment="0" applyProtection="0"/>
    <xf numFmtId="0" fontId="115" fillId="0" borderId="0"/>
    <xf numFmtId="0" fontId="152" fillId="0" borderId="0"/>
    <xf numFmtId="0" fontId="33" fillId="0" borderId="0"/>
    <xf numFmtId="0" fontId="152" fillId="0" borderId="0"/>
    <xf numFmtId="43" fontId="115" fillId="0" borderId="0" applyFont="0" applyFill="0" applyBorder="0" applyAlignment="0" applyProtection="0"/>
    <xf numFmtId="0" fontId="115" fillId="0" borderId="0"/>
    <xf numFmtId="0" fontId="115" fillId="0" borderId="0"/>
    <xf numFmtId="0" fontId="115" fillId="0" borderId="0"/>
    <xf numFmtId="0" fontId="155" fillId="0" borderId="0"/>
    <xf numFmtId="0" fontId="155" fillId="0" borderId="0"/>
    <xf numFmtId="0" fontId="156" fillId="0" borderId="0"/>
    <xf numFmtId="0" fontId="155" fillId="0" borderId="0"/>
    <xf numFmtId="0" fontId="152" fillId="0" borderId="0"/>
    <xf numFmtId="0" fontId="155"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5" fillId="0" borderId="0"/>
    <xf numFmtId="0" fontId="152" fillId="0" borderId="0"/>
    <xf numFmtId="0" fontId="152" fillId="0" borderId="0"/>
    <xf numFmtId="0" fontId="155" fillId="0" borderId="0"/>
    <xf numFmtId="0" fontId="152" fillId="0" borderId="0"/>
    <xf numFmtId="0" fontId="152"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2" fillId="0" borderId="0"/>
    <xf numFmtId="0" fontId="156" fillId="0" borderId="0"/>
    <xf numFmtId="0" fontId="152"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5" fillId="0" borderId="0"/>
    <xf numFmtId="43" fontId="115" fillId="0" borderId="0" applyFont="0" applyFill="0" applyBorder="0" applyAlignment="0" applyProtection="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6" fillId="0" borderId="0"/>
    <xf numFmtId="0" fontId="34" fillId="0" borderId="0"/>
    <xf numFmtId="0" fontId="33" fillId="0" borderId="0"/>
    <xf numFmtId="0" fontId="198" fillId="0" borderId="0"/>
    <xf numFmtId="0" fontId="199" fillId="0" borderId="0"/>
    <xf numFmtId="0" fontId="199" fillId="0" borderId="0"/>
    <xf numFmtId="0" fontId="198" fillId="0" borderId="0"/>
    <xf numFmtId="0" fontId="199" fillId="0" borderId="0"/>
    <xf numFmtId="0" fontId="199" fillId="0" borderId="0"/>
    <xf numFmtId="0" fontId="200" fillId="0" borderId="0"/>
    <xf numFmtId="44" fontId="33" fillId="0" borderId="0" applyFont="0" applyFill="0" applyBorder="0" applyAlignment="0" applyProtection="0"/>
    <xf numFmtId="0" fontId="199" fillId="5" borderId="7" applyNumberFormat="0" applyFont="0" applyAlignment="0" applyProtection="0"/>
    <xf numFmtId="44" fontId="1" fillId="0" borderId="0" applyFont="0" applyFill="0" applyBorder="0" applyAlignment="0" applyProtection="0"/>
    <xf numFmtId="44" fontId="33" fillId="0" borderId="0" applyFont="0" applyFill="0" applyBorder="0" applyAlignment="0" applyProtection="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1" fillId="0" borderId="0"/>
    <xf numFmtId="0" fontId="33" fillId="0" borderId="0"/>
    <xf numFmtId="0" fontId="33" fillId="0" borderId="0"/>
    <xf numFmtId="0" fontId="33" fillId="0" borderId="0"/>
    <xf numFmtId="0" fontId="21" fillId="0" borderId="0"/>
    <xf numFmtId="0" fontId="11" fillId="0" borderId="0"/>
    <xf numFmtId="0" fontId="33" fillId="0" borderId="0"/>
  </cellStyleXfs>
  <cellXfs count="1186">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8"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1" fillId="25" borderId="0" xfId="0" applyFont="1" applyFill="1" applyAlignment="1" applyProtection="1">
      <alignment horizontal="center" wrapText="1"/>
    </xf>
    <xf numFmtId="0" fontId="52" fillId="21" borderId="10" xfId="0" applyFont="1" applyFill="1" applyBorder="1" applyAlignment="1" applyProtection="1">
      <alignment horizontal="center" wrapText="1"/>
    </xf>
    <xf numFmtId="0" fontId="52"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4" fillId="26" borderId="0" xfId="682" applyFont="1" applyFill="1"/>
    <xf numFmtId="0" fontId="54" fillId="0" borderId="0" xfId="682" applyFont="1" applyFill="1"/>
    <xf numFmtId="0" fontId="39" fillId="0" borderId="0" xfId="682" applyFont="1"/>
    <xf numFmtId="40" fontId="55" fillId="0" borderId="0" xfId="0" applyNumberFormat="1" applyFont="1"/>
    <xf numFmtId="0" fontId="52" fillId="0" borderId="0" xfId="0" applyFont="1"/>
    <xf numFmtId="0" fontId="0" fillId="0" borderId="0" xfId="0" applyNumberFormat="1" applyFont="1" applyFill="1" applyAlignment="1" applyProtection="1">
      <alignment vertical="center" wrapText="1"/>
    </xf>
    <xf numFmtId="0" fontId="54"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7"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4" fillId="0" borderId="0" xfId="0" applyNumberFormat="1" applyFont="1" applyFill="1" applyAlignment="1" applyProtection="1">
      <alignment vertical="center" wrapText="1"/>
    </xf>
    <xf numFmtId="0" fontId="54" fillId="0" borderId="0" xfId="0" applyNumberFormat="1" applyFont="1" applyFill="1" applyAlignment="1" applyProtection="1">
      <alignment horizontal="left" vertical="center" wrapText="1" indent="3"/>
    </xf>
    <xf numFmtId="0" fontId="54" fillId="0" borderId="14" xfId="0" applyNumberFormat="1" applyFont="1" applyFill="1" applyBorder="1" applyAlignment="1" applyProtection="1">
      <alignment horizontal="left" vertical="center" wrapText="1" indent="3"/>
    </xf>
    <xf numFmtId="0" fontId="54" fillId="0" borderId="0" xfId="0" applyNumberFormat="1" applyFont="1" applyFill="1" applyAlignment="1" applyProtection="1">
      <alignment horizontal="left" vertical="center" wrapText="1" indent="6"/>
    </xf>
    <xf numFmtId="0" fontId="45"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5" fillId="0" borderId="0" xfId="439" applyNumberFormat="1" applyFont="1" applyFill="1" applyAlignment="1" applyProtection="1">
      <alignment horizontal="center" vertical="center" wrapText="1"/>
    </xf>
    <xf numFmtId="173" fontId="45" fillId="0" borderId="0" xfId="439" applyNumberFormat="1" applyFont="1" applyFill="1" applyAlignment="1" applyProtection="1">
      <alignment horizontal="center" vertical="center" wrapText="1"/>
    </xf>
    <xf numFmtId="164" fontId="58"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9" fillId="0" borderId="25" xfId="0" applyNumberFormat="1" applyFont="1" applyFill="1" applyBorder="1" applyAlignment="1" applyProtection="1">
      <alignment horizontal="center" vertical="center"/>
    </xf>
    <xf numFmtId="0" fontId="60"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50"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2" fillId="21" borderId="10" xfId="0" applyFont="1" applyFill="1" applyBorder="1" applyAlignment="1" applyProtection="1">
      <alignment horizontal="center" vertical="center" wrapText="1"/>
    </xf>
    <xf numFmtId="164" fontId="58" fillId="0" borderId="31" xfId="439" applyNumberFormat="1" applyFont="1" applyFill="1" applyBorder="1" applyAlignment="1" applyProtection="1">
      <alignment horizontal="center" vertical="center" wrapText="1"/>
    </xf>
    <xf numFmtId="0" fontId="51"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8" fillId="0" borderId="0" xfId="0" applyFont="1" applyProtection="1"/>
    <xf numFmtId="0" fontId="58" fillId="23" borderId="23" xfId="0" applyNumberFormat="1" applyFont="1" applyFill="1" applyBorder="1" applyAlignment="1" applyProtection="1">
      <alignment horizontal="left" vertical="center" wrapText="1"/>
    </xf>
    <xf numFmtId="0" fontId="58"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8"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5" fillId="0" borderId="0" xfId="439" applyNumberFormat="1" applyFont="1" applyFill="1" applyAlignment="1" applyProtection="1">
      <alignment horizontal="center" vertical="center" wrapText="1"/>
    </xf>
    <xf numFmtId="0" fontId="61" fillId="0" borderId="0" xfId="0" applyNumberFormat="1" applyFont="1" applyFill="1" applyAlignment="1" applyProtection="1">
      <alignment vertical="center" wrapText="1"/>
    </xf>
    <xf numFmtId="0" fontId="50" fillId="0" borderId="0" xfId="0" applyFont="1" applyAlignment="1" applyProtection="1">
      <alignment wrapText="1"/>
    </xf>
    <xf numFmtId="0" fontId="45" fillId="0" borderId="23" xfId="1243" applyFont="1" applyFill="1" applyBorder="1" applyAlignment="1" applyProtection="1">
      <alignment horizontal="left" vertical="center" wrapText="1"/>
    </xf>
    <xf numFmtId="164" fontId="51" fillId="25" borderId="0" xfId="439" applyNumberFormat="1" applyFont="1" applyFill="1" applyAlignment="1" applyProtection="1">
      <alignment horizontal="center"/>
    </xf>
    <xf numFmtId="0" fontId="62"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8" fillId="22" borderId="23" xfId="439" applyNumberFormat="1" applyFont="1" applyFill="1" applyBorder="1" applyAlignment="1" applyProtection="1">
      <alignment horizontal="center" vertical="center" wrapText="1"/>
    </xf>
    <xf numFmtId="0" fontId="50" fillId="30" borderId="25" xfId="0" applyNumberFormat="1" applyFont="1" applyFill="1" applyBorder="1" applyAlignment="1" applyProtection="1">
      <alignment horizontal="center" vertical="center" wrapText="1"/>
    </xf>
    <xf numFmtId="164" fontId="50" fillId="24" borderId="10" xfId="439" applyNumberFormat="1" applyFont="1" applyFill="1" applyBorder="1" applyAlignment="1" applyProtection="1">
      <alignment horizontal="center" wrapText="1"/>
    </xf>
    <xf numFmtId="0" fontId="63"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8" fillId="0" borderId="29" xfId="439" applyNumberFormat="1" applyFont="1" applyFill="1" applyBorder="1" applyAlignment="1" applyProtection="1">
      <alignment horizontal="center" vertical="center" wrapText="1"/>
    </xf>
    <xf numFmtId="39" fontId="58"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2"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2" fillId="32" borderId="0" xfId="0" applyFont="1" applyFill="1" applyAlignment="1" applyProtection="1">
      <alignment horizontal="center" vertical="center" wrapText="1"/>
    </xf>
    <xf numFmtId="0" fontId="0" fillId="0" borderId="0" xfId="0" applyFont="1" applyProtection="1">
      <protection locked="0"/>
    </xf>
    <xf numFmtId="0" fontId="53"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8" fillId="0" borderId="23" xfId="439" applyNumberFormat="1" applyFont="1" applyFill="1" applyBorder="1" applyAlignment="1" applyProtection="1">
      <alignment horizontal="center" vertical="center" wrapText="1"/>
    </xf>
    <xf numFmtId="0" fontId="48" fillId="0" borderId="23" xfId="439" applyNumberFormat="1" applyFont="1" applyFill="1" applyBorder="1" applyAlignment="1" applyProtection="1">
      <alignment horizontal="center" vertical="center" wrapText="1"/>
    </xf>
    <xf numFmtId="41" fontId="65"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0" fillId="0" borderId="0" xfId="0" applyFont="1" applyFill="1" applyAlignment="1" applyProtection="1">
      <alignment horizontal="center" vertical="center" wrapText="1"/>
    </xf>
    <xf numFmtId="0" fontId="58"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8" fillId="29" borderId="23" xfId="439" applyNumberFormat="1" applyFont="1" applyFill="1" applyBorder="1" applyAlignment="1" applyProtection="1">
      <alignment horizontal="center" vertical="center" wrapText="1"/>
      <protection locked="0"/>
    </xf>
    <xf numFmtId="37" fontId="59"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9"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8"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8"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5"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8" fillId="0" borderId="29" xfId="439" applyNumberFormat="1" applyFont="1" applyFill="1" applyBorder="1" applyAlignment="1" applyProtection="1">
      <alignment horizontal="center" vertical="center" wrapText="1"/>
    </xf>
    <xf numFmtId="172" fontId="58"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4" fillId="0" borderId="0" xfId="0" applyFont="1" applyFill="1" applyAlignment="1" applyProtection="1">
      <alignment vertical="center" wrapText="1"/>
    </xf>
    <xf numFmtId="0" fontId="5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8" fillId="29" borderId="44" xfId="439" applyNumberFormat="1" applyFont="1" applyFill="1" applyBorder="1" applyAlignment="1" applyProtection="1">
      <alignment horizontal="center" vertical="center" wrapText="1"/>
      <protection locked="0"/>
    </xf>
    <xf numFmtId="164" fontId="58" fillId="0" borderId="30" xfId="439" applyNumberFormat="1" applyFont="1" applyFill="1" applyBorder="1" applyAlignment="1" applyProtection="1">
      <alignment horizontal="center" vertical="center" wrapText="1"/>
    </xf>
    <xf numFmtId="39" fontId="58" fillId="0" borderId="27" xfId="439" applyNumberFormat="1" applyFont="1" applyFill="1" applyBorder="1" applyAlignment="1" applyProtection="1">
      <alignment horizontal="center" vertical="center" wrapText="1"/>
    </xf>
    <xf numFmtId="164" fontId="58"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8" fillId="29" borderId="45" xfId="439" applyNumberFormat="1" applyFont="1" applyFill="1" applyBorder="1" applyAlignment="1" applyProtection="1">
      <alignment horizontal="center" vertical="center" wrapText="1"/>
      <protection locked="0"/>
    </xf>
    <xf numFmtId="0" fontId="58" fillId="0" borderId="30" xfId="0" applyNumberFormat="1" applyFont="1" applyFill="1" applyBorder="1" applyAlignment="1" applyProtection="1">
      <alignment horizontal="left" vertical="center" wrapText="1"/>
    </xf>
    <xf numFmtId="0" fontId="58" fillId="23" borderId="31" xfId="0" applyNumberFormat="1" applyFont="1" applyFill="1" applyBorder="1" applyAlignment="1" applyProtection="1">
      <alignment horizontal="left" vertical="center" wrapText="1"/>
    </xf>
    <xf numFmtId="0" fontId="58"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0" fillId="0" borderId="0" xfId="0" applyNumberFormat="1" applyFont="1" applyFill="1" applyAlignment="1" applyProtection="1">
      <alignment horizontal="left" vertical="center" wrapText="1" indent="6"/>
    </xf>
    <xf numFmtId="0" fontId="58"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6" fillId="0" borderId="0" xfId="0" applyNumberFormat="1" applyFont="1" applyFill="1" applyAlignment="1" applyProtection="1">
      <alignment wrapText="1"/>
    </xf>
    <xf numFmtId="14" fontId="58"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0" fillId="0" borderId="0" xfId="0" applyNumberFormat="1" applyFont="1" applyAlignment="1" applyProtection="1">
      <alignment wrapText="1"/>
    </xf>
    <xf numFmtId="164" fontId="58" fillId="22" borderId="23" xfId="439" applyNumberFormat="1" applyFont="1" applyFill="1" applyBorder="1" applyAlignment="1" applyProtection="1">
      <alignment horizontal="center" vertical="center" wrapText="1"/>
      <protection locked="0"/>
    </xf>
    <xf numFmtId="172" fontId="58" fillId="22" borderId="23" xfId="439" applyNumberFormat="1" applyFont="1" applyFill="1" applyBorder="1" applyAlignment="1" applyProtection="1">
      <alignment horizontal="center" vertical="center" wrapText="1"/>
    </xf>
    <xf numFmtId="39" fontId="58" fillId="22" borderId="28" xfId="439" applyNumberFormat="1" applyFont="1" applyFill="1" applyBorder="1" applyAlignment="1" applyProtection="1">
      <alignment horizontal="center" vertical="center" wrapText="1"/>
    </xf>
    <xf numFmtId="164" fontId="58"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8" fillId="29" borderId="31" xfId="439" applyNumberFormat="1" applyFont="1" applyFill="1" applyBorder="1" applyAlignment="1" applyProtection="1">
      <alignment horizontal="center" vertical="center" wrapText="1"/>
      <protection locked="0"/>
    </xf>
    <xf numFmtId="0" fontId="49" fillId="0" borderId="0" xfId="0" applyFont="1" applyAlignment="1" applyProtection="1">
      <alignment horizontal="center"/>
    </xf>
    <xf numFmtId="0" fontId="41" fillId="22" borderId="0" xfId="0" applyFont="1" applyFill="1" applyAlignment="1" applyProtection="1">
      <alignment horizontal="left" wrapText="1"/>
    </xf>
    <xf numFmtId="172" fontId="58" fillId="22" borderId="30" xfId="439" applyNumberFormat="1" applyFont="1" applyFill="1" applyBorder="1" applyAlignment="1" applyProtection="1">
      <alignment horizontal="center" vertical="center" wrapText="1"/>
    </xf>
    <xf numFmtId="175" fontId="58" fillId="75" borderId="23" xfId="439" applyNumberFormat="1" applyFont="1" applyFill="1" applyBorder="1" applyAlignment="1" applyProtection="1">
      <alignment horizontal="center" vertical="center" wrapText="1"/>
    </xf>
    <xf numFmtId="3" fontId="58" fillId="0" borderId="23" xfId="439" applyNumberFormat="1" applyFont="1" applyFill="1" applyBorder="1" applyAlignment="1" applyProtection="1">
      <alignment horizontal="center" vertical="center" wrapText="1"/>
      <protection locked="0"/>
    </xf>
    <xf numFmtId="180" fontId="58" fillId="75" borderId="23" xfId="439" applyNumberFormat="1" applyFont="1" applyFill="1" applyBorder="1" applyAlignment="1" applyProtection="1">
      <alignment horizontal="center" vertical="center" wrapText="1"/>
    </xf>
    <xf numFmtId="39" fontId="58" fillId="0" borderId="23" xfId="439" applyNumberFormat="1" applyFont="1" applyFill="1" applyBorder="1" applyAlignment="1" applyProtection="1">
      <alignment horizontal="center" vertical="center" wrapText="1"/>
    </xf>
    <xf numFmtId="3" fontId="58" fillId="0" borderId="31" xfId="439" applyNumberFormat="1" applyFont="1" applyFill="1" applyBorder="1" applyAlignment="1" applyProtection="1">
      <alignment horizontal="center" vertical="center" wrapText="1"/>
    </xf>
    <xf numFmtId="3" fontId="58" fillId="23" borderId="31" xfId="439" applyNumberFormat="1" applyFont="1" applyFill="1" applyBorder="1" applyAlignment="1" applyProtection="1">
      <alignment horizontal="center" vertical="center" wrapText="1"/>
    </xf>
    <xf numFmtId="3" fontId="58" fillId="23" borderId="23" xfId="439" applyNumberFormat="1" applyFont="1" applyFill="1" applyBorder="1" applyAlignment="1" applyProtection="1">
      <alignment horizontal="center" vertical="center" wrapText="1"/>
    </xf>
    <xf numFmtId="3" fontId="58" fillId="0" borderId="30" xfId="439" applyNumberFormat="1" applyFont="1" applyFill="1" applyBorder="1" applyAlignment="1" applyProtection="1">
      <alignment horizontal="center" vertical="center" wrapText="1"/>
    </xf>
    <xf numFmtId="37" fontId="58"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4"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2" fillId="22" borderId="0" xfId="0" applyFont="1" applyFill="1" applyProtection="1"/>
    <xf numFmtId="0" fontId="119" fillId="22" borderId="0" xfId="0" applyFont="1" applyFill="1" applyProtection="1"/>
    <xf numFmtId="0" fontId="83" fillId="22" borderId="0" xfId="0" applyFont="1" applyFill="1" applyAlignment="1" applyProtection="1">
      <alignment vertical="center" wrapText="1"/>
    </xf>
    <xf numFmtId="0" fontId="83" fillId="22" borderId="0" xfId="0" applyFont="1" applyFill="1" applyAlignment="1" applyProtection="1">
      <alignment vertical="center"/>
      <protection locked="0"/>
    </xf>
    <xf numFmtId="0" fontId="83" fillId="22" borderId="0" xfId="0" applyFont="1" applyFill="1" applyAlignment="1" applyProtection="1">
      <alignment vertical="center"/>
    </xf>
    <xf numFmtId="0" fontId="0" fillId="0" borderId="0" xfId="0" applyAlignment="1">
      <alignment horizontal="center"/>
    </xf>
    <xf numFmtId="0" fontId="83"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8"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20" fillId="73" borderId="0" xfId="0" applyFont="1" applyFill="1" applyAlignment="1">
      <alignment vertical="center" wrapText="1"/>
    </xf>
    <xf numFmtId="0" fontId="47" fillId="73" borderId="0" xfId="0" applyFont="1" applyFill="1" applyAlignment="1">
      <alignment horizontal="justify" vertical="center"/>
    </xf>
    <xf numFmtId="0" fontId="125" fillId="77" borderId="0" xfId="0" applyFont="1" applyFill="1" applyAlignment="1">
      <alignment vertical="center"/>
    </xf>
    <xf numFmtId="0" fontId="62" fillId="0" borderId="45" xfId="0" applyFont="1" applyFill="1" applyBorder="1" applyAlignment="1" applyProtection="1">
      <alignment horizontal="center" vertical="center" wrapText="1"/>
    </xf>
    <xf numFmtId="0" fontId="62" fillId="32" borderId="45" xfId="0" applyFont="1" applyFill="1" applyBorder="1" applyAlignment="1" applyProtection="1">
      <alignment horizontal="center" vertical="center" wrapText="1"/>
    </xf>
    <xf numFmtId="0" fontId="58"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8" fillId="0" borderId="23" xfId="439" applyNumberFormat="1" applyFont="1" applyFill="1" applyBorder="1" applyAlignment="1" applyProtection="1">
      <alignment horizontal="center" vertical="center" wrapText="1"/>
    </xf>
    <xf numFmtId="0" fontId="121" fillId="73" borderId="0" xfId="0" applyFont="1" applyFill="1" applyAlignment="1">
      <alignment horizontal="left" vertical="center" wrapText="1"/>
    </xf>
    <xf numFmtId="0" fontId="33" fillId="73" borderId="0" xfId="30098" applyFill="1"/>
    <xf numFmtId="0" fontId="124" fillId="77" borderId="0" xfId="30098" applyFont="1" applyFill="1" applyAlignment="1">
      <alignment horizontal="center" vertical="center" wrapText="1"/>
    </xf>
    <xf numFmtId="0" fontId="120" fillId="73" borderId="0" xfId="30098" applyFont="1" applyFill="1" applyAlignment="1">
      <alignment vertical="center" wrapText="1"/>
    </xf>
    <xf numFmtId="0" fontId="47" fillId="73" borderId="0" xfId="30098" applyFont="1" applyFill="1" applyAlignment="1">
      <alignment vertical="center" wrapText="1"/>
    </xf>
    <xf numFmtId="0" fontId="125" fillId="77" borderId="0" xfId="30098" applyFont="1" applyFill="1" applyAlignment="1">
      <alignment vertical="center"/>
    </xf>
    <xf numFmtId="0" fontId="128" fillId="0" borderId="0" xfId="30099" applyFont="1" applyAlignment="1">
      <alignment horizontal="left" vertical="top"/>
    </xf>
    <xf numFmtId="0" fontId="130" fillId="0" borderId="0" xfId="30099" applyFont="1" applyAlignment="1">
      <alignment horizontal="left" vertical="top"/>
    </xf>
    <xf numFmtId="0" fontId="128" fillId="36" borderId="0" xfId="30099" applyFont="1" applyFill="1" applyAlignment="1">
      <alignment horizontal="left" vertical="top"/>
    </xf>
    <xf numFmtId="0" fontId="130" fillId="0" borderId="0" xfId="30099" applyFont="1" applyAlignment="1">
      <alignment vertical="top"/>
    </xf>
    <xf numFmtId="0" fontId="128" fillId="0" borderId="0" xfId="30099" applyFont="1" applyAlignment="1">
      <alignment vertical="top"/>
    </xf>
    <xf numFmtId="0" fontId="130" fillId="79" borderId="13" xfId="30099" applyFont="1" applyFill="1" applyBorder="1" applyAlignment="1">
      <alignment horizontal="left" vertical="top"/>
    </xf>
    <xf numFmtId="0" fontId="130" fillId="79" borderId="16" xfId="30099" applyFont="1" applyFill="1" applyBorder="1" applyAlignment="1">
      <alignment horizontal="left" vertical="top"/>
    </xf>
    <xf numFmtId="164" fontId="135" fillId="79" borderId="16" xfId="30100" applyNumberFormat="1" applyFont="1" applyFill="1" applyBorder="1" applyAlignment="1">
      <alignment vertical="center"/>
    </xf>
    <xf numFmtId="0" fontId="136" fillId="79" borderId="16" xfId="30099" applyFont="1" applyFill="1" applyBorder="1" applyAlignment="1">
      <alignment vertical="center" wrapText="1"/>
    </xf>
    <xf numFmtId="0" fontId="136" fillId="79" borderId="16" xfId="30099" applyFont="1" applyFill="1" applyBorder="1" applyAlignment="1">
      <alignment vertical="center"/>
    </xf>
    <xf numFmtId="0" fontId="128" fillId="79" borderId="11" xfId="30099" applyFont="1" applyFill="1" applyBorder="1" applyAlignment="1">
      <alignment horizontal="left" vertical="top" wrapText="1"/>
    </xf>
    <xf numFmtId="0" fontId="137" fillId="0" borderId="0" xfId="30099" applyFont="1" applyAlignment="1">
      <alignment horizontal="left" vertical="top"/>
    </xf>
    <xf numFmtId="0" fontId="137" fillId="26" borderId="15" xfId="30099" applyFont="1" applyFill="1" applyBorder="1" applyAlignment="1">
      <alignment horizontal="left" vertical="top"/>
    </xf>
    <xf numFmtId="0" fontId="137" fillId="26" borderId="0" xfId="30099" applyFont="1" applyFill="1" applyAlignment="1">
      <alignment horizontal="left" vertical="top"/>
    </xf>
    <xf numFmtId="0" fontId="128" fillId="26" borderId="0" xfId="30099" applyFont="1" applyFill="1" applyAlignment="1">
      <alignment horizontal="left" vertical="top" wrapText="1"/>
    </xf>
    <xf numFmtId="0" fontId="137" fillId="26" borderId="0" xfId="30099" applyFont="1" applyFill="1" applyAlignment="1">
      <alignment horizontal="left" vertical="center"/>
    </xf>
    <xf numFmtId="0" fontId="137" fillId="26" borderId="60" xfId="30099" applyFont="1" applyFill="1" applyBorder="1" applyAlignment="1">
      <alignment horizontal="left" vertical="top" wrapText="1"/>
    </xf>
    <xf numFmtId="0" fontId="128" fillId="26" borderId="15" xfId="30099" applyFont="1" applyFill="1" applyBorder="1" applyAlignment="1">
      <alignment horizontal="left" vertical="top"/>
    </xf>
    <xf numFmtId="0" fontId="128" fillId="26" borderId="0" xfId="30099" applyFont="1" applyFill="1" applyAlignment="1">
      <alignment horizontal="left" vertical="top"/>
    </xf>
    <xf numFmtId="0" fontId="128" fillId="26" borderId="60" xfId="30099" applyFont="1" applyFill="1" applyBorder="1" applyAlignment="1">
      <alignment horizontal="left" vertical="top" wrapText="1"/>
    </xf>
    <xf numFmtId="0" fontId="140" fillId="26" borderId="0" xfId="30099" applyFont="1" applyFill="1" applyAlignment="1">
      <alignment horizontal="left" vertical="top"/>
    </xf>
    <xf numFmtId="0" fontId="128" fillId="26" borderId="0" xfId="30099" applyFont="1" applyFill="1" applyAlignment="1">
      <alignment horizontal="left" vertical="center"/>
    </xf>
    <xf numFmtId="14" fontId="128" fillId="0" borderId="69" xfId="30099" applyNumberFormat="1" applyFont="1" applyBorder="1" applyAlignment="1" applyProtection="1">
      <alignment horizontal="center" vertical="center"/>
      <protection locked="0"/>
    </xf>
    <xf numFmtId="0" fontId="128" fillId="26" borderId="0" xfId="30099" applyFont="1" applyFill="1" applyAlignment="1">
      <alignment horizontal="left" vertical="center" wrapText="1"/>
    </xf>
    <xf numFmtId="0" fontId="128" fillId="0" borderId="69" xfId="30099" applyFont="1" applyBorder="1" applyAlignment="1" applyProtection="1">
      <alignment horizontal="center" vertical="center"/>
      <protection locked="0"/>
    </xf>
    <xf numFmtId="0" fontId="144" fillId="26" borderId="0" xfId="30099" applyFont="1" applyFill="1" applyAlignment="1">
      <alignment horizontal="center" vertical="center" wrapText="1"/>
    </xf>
    <xf numFmtId="0" fontId="128" fillId="0" borderId="57" xfId="30099" applyFont="1" applyBorder="1" applyAlignment="1" applyProtection="1">
      <alignment horizontal="center" vertical="center"/>
      <protection locked="0"/>
    </xf>
    <xf numFmtId="0" fontId="128" fillId="26" borderId="0" xfId="30099" applyFont="1" applyFill="1" applyAlignment="1">
      <alignment horizontal="center" vertical="center"/>
    </xf>
    <xf numFmtId="0" fontId="145" fillId="26" borderId="0" xfId="30099" applyFont="1" applyFill="1" applyAlignment="1">
      <alignment horizontal="left" vertical="top" wrapText="1"/>
    </xf>
    <xf numFmtId="0" fontId="145" fillId="0" borderId="57" xfId="30099" applyFont="1" applyBorder="1" applyAlignment="1" applyProtection="1">
      <alignment horizontal="center" vertical="center" wrapText="1"/>
      <protection locked="0"/>
    </xf>
    <xf numFmtId="0" fontId="130" fillId="0" borderId="0" xfId="30099" applyFont="1" applyAlignment="1">
      <alignment horizontal="left"/>
    </xf>
    <xf numFmtId="0" fontId="129" fillId="0" borderId="69" xfId="30099" applyFont="1" applyBorder="1" applyAlignment="1" applyProtection="1">
      <alignment horizontal="center" vertical="center"/>
      <protection locked="0"/>
    </xf>
    <xf numFmtId="0" fontId="128" fillId="26" borderId="0" xfId="30099" applyFont="1" applyFill="1" applyAlignment="1">
      <alignment vertical="top" wrapText="1"/>
    </xf>
    <xf numFmtId="0" fontId="128" fillId="26" borderId="60" xfId="30099" applyFont="1" applyFill="1" applyBorder="1" applyAlignment="1">
      <alignment vertical="top" wrapText="1"/>
    </xf>
    <xf numFmtId="0" fontId="132" fillId="26" borderId="0" xfId="30099" applyFont="1" applyFill="1" applyAlignment="1">
      <alignment horizontal="left" vertical="top"/>
    </xf>
    <xf numFmtId="0" fontId="140" fillId="26" borderId="0" xfId="30099" applyFont="1" applyFill="1" applyAlignment="1">
      <alignment horizontal="left" vertical="top" wrapText="1"/>
    </xf>
    <xf numFmtId="0" fontId="128" fillId="26" borderId="15" xfId="30099" applyFont="1" applyFill="1" applyBorder="1" applyAlignment="1">
      <alignment horizontal="left"/>
    </xf>
    <xf numFmtId="0" fontId="128" fillId="26" borderId="0" xfId="30099" applyFont="1" applyFill="1" applyAlignment="1">
      <alignment horizontal="left"/>
    </xf>
    <xf numFmtId="0" fontId="128" fillId="26" borderId="0" xfId="30099" applyFont="1" applyFill="1" applyAlignment="1">
      <alignment vertical="center" wrapText="1"/>
    </xf>
    <xf numFmtId="0" fontId="140" fillId="26" borderId="0" xfId="30099" applyFont="1" applyFill="1" applyAlignment="1">
      <alignment vertical="center" wrapText="1"/>
    </xf>
    <xf numFmtId="0" fontId="128" fillId="0" borderId="0" xfId="30099" applyFont="1" applyAlignment="1">
      <alignment horizontal="left"/>
    </xf>
    <xf numFmtId="0" fontId="134" fillId="26" borderId="0" xfId="30099" applyFont="1" applyFill="1" applyAlignment="1">
      <alignment horizontal="left"/>
    </xf>
    <xf numFmtId="0" fontId="134" fillId="26" borderId="0" xfId="30099" applyFont="1" applyFill="1" applyAlignment="1">
      <alignment horizontal="right" vertical="center"/>
    </xf>
    <xf numFmtId="0" fontId="134" fillId="26" borderId="0" xfId="30099" applyFont="1" applyFill="1" applyAlignment="1">
      <alignment horizontal="right"/>
    </xf>
    <xf numFmtId="0" fontId="128" fillId="26" borderId="0" xfId="30099" applyFont="1" applyFill="1" applyAlignment="1">
      <alignment horizontal="right" vertical="center" wrapText="1"/>
    </xf>
    <xf numFmtId="14" fontId="128" fillId="26" borderId="0" xfId="30099" applyNumberFormat="1" applyFont="1" applyFill="1" applyAlignment="1">
      <alignment horizontal="left" vertical="center"/>
    </xf>
    <xf numFmtId="0" fontId="149" fillId="79" borderId="0" xfId="30099" applyFont="1" applyFill="1" applyAlignment="1">
      <alignment vertical="center"/>
    </xf>
    <xf numFmtId="0" fontId="149" fillId="79" borderId="0" xfId="30099" applyFont="1" applyFill="1" applyAlignment="1">
      <alignment horizontal="left" vertical="center"/>
    </xf>
    <xf numFmtId="0" fontId="140" fillId="26" borderId="0" xfId="30099" applyFont="1" applyFill="1" applyAlignment="1">
      <alignment horizontal="left" vertical="center" wrapText="1"/>
    </xf>
    <xf numFmtId="0" fontId="140" fillId="26" borderId="60" xfId="30099" applyFont="1" applyFill="1" applyBorder="1" applyAlignment="1">
      <alignment vertical="top" wrapText="1"/>
    </xf>
    <xf numFmtId="0" fontId="128" fillId="26" borderId="40" xfId="30099" applyFont="1" applyFill="1" applyBorder="1" applyAlignment="1">
      <alignment horizontal="left" vertical="top"/>
    </xf>
    <xf numFmtId="0" fontId="128" fillId="26" borderId="41" xfId="30099" applyFont="1" applyFill="1" applyBorder="1" applyAlignment="1">
      <alignment horizontal="left" vertical="top"/>
    </xf>
    <xf numFmtId="0" fontId="128" fillId="26" borderId="41" xfId="30099" applyFont="1" applyFill="1" applyBorder="1" applyAlignment="1">
      <alignment horizontal="right" vertical="center" wrapText="1"/>
    </xf>
    <xf numFmtId="0" fontId="128" fillId="26" borderId="41" xfId="30099" applyFont="1" applyFill="1" applyBorder="1" applyAlignment="1">
      <alignment horizontal="left" vertical="center"/>
    </xf>
    <xf numFmtId="0" fontId="128" fillId="26" borderId="42" xfId="30099" applyFont="1" applyFill="1" applyBorder="1" applyAlignment="1">
      <alignment horizontal="left" vertical="top" wrapText="1"/>
    </xf>
    <xf numFmtId="0" fontId="128" fillId="0" borderId="0" xfId="30099" applyFont="1" applyAlignment="1">
      <alignment horizontal="left" vertical="top" wrapText="1"/>
    </xf>
    <xf numFmtId="2" fontId="128" fillId="0" borderId="0" xfId="30099" applyNumberFormat="1" applyFont="1" applyAlignment="1">
      <alignment horizontal="left" vertical="top"/>
    </xf>
    <xf numFmtId="0" fontId="128" fillId="0" borderId="0" xfId="30099" applyFont="1" applyAlignment="1">
      <alignment horizontal="left" vertical="center" wrapText="1"/>
    </xf>
    <xf numFmtId="14" fontId="128" fillId="0" borderId="0" xfId="30099" applyNumberFormat="1" applyFont="1" applyAlignment="1">
      <alignment horizontal="left" vertical="top"/>
    </xf>
    <xf numFmtId="0" fontId="128"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1" fillId="26" borderId="0" xfId="30099" applyFont="1" applyFill="1" applyAlignment="1">
      <alignment horizontal="center" vertical="center"/>
    </xf>
    <xf numFmtId="164" fontId="134" fillId="26" borderId="0" xfId="30100" applyNumberFormat="1" applyFont="1" applyFill="1" applyBorder="1" applyAlignment="1">
      <alignment vertical="center"/>
    </xf>
    <xf numFmtId="164" fontId="134" fillId="26" borderId="0" xfId="30100" applyNumberFormat="1" applyFont="1" applyFill="1" applyBorder="1" applyAlignment="1">
      <alignment vertical="top"/>
    </xf>
    <xf numFmtId="164" fontId="133" fillId="26" borderId="0" xfId="30100" applyNumberFormat="1" applyFont="1" applyFill="1" applyBorder="1" applyAlignment="1">
      <alignment vertical="center"/>
    </xf>
    <xf numFmtId="164" fontId="132" fillId="26" borderId="0" xfId="30100" applyNumberFormat="1" applyFont="1" applyFill="1" applyBorder="1" applyAlignment="1">
      <alignment vertical="center"/>
    </xf>
    <xf numFmtId="164" fontId="134" fillId="26" borderId="41" xfId="30100" applyNumberFormat="1" applyFont="1" applyFill="1" applyBorder="1" applyAlignment="1">
      <alignment vertical="top"/>
    </xf>
    <xf numFmtId="164" fontId="128" fillId="0" borderId="0" xfId="30100" applyNumberFormat="1" applyFont="1" applyFill="1" applyBorder="1" applyAlignment="1">
      <alignment vertical="top"/>
    </xf>
    <xf numFmtId="49" fontId="134" fillId="26" borderId="0" xfId="30100" applyNumberFormat="1" applyFont="1" applyFill="1" applyBorder="1" applyAlignment="1">
      <alignment horizontal="center" vertical="center"/>
    </xf>
    <xf numFmtId="49" fontId="134" fillId="26" borderId="0" xfId="30100" applyNumberFormat="1" applyFont="1" applyFill="1" applyBorder="1" applyAlignment="1">
      <alignment horizontal="center" vertical="top"/>
    </xf>
    <xf numFmtId="0" fontId="134" fillId="26" borderId="0" xfId="30099" applyFont="1" applyFill="1" applyAlignment="1">
      <alignment horizontal="left" wrapText="1"/>
    </xf>
    <xf numFmtId="0" fontId="134" fillId="26" borderId="0" xfId="30099" applyFont="1" applyFill="1" applyAlignment="1">
      <alignment horizontal="left" vertical="center" wrapText="1"/>
    </xf>
    <xf numFmtId="0" fontId="128" fillId="0" borderId="0" xfId="30099" applyFont="1" applyFill="1" applyAlignment="1">
      <alignment horizontal="left"/>
    </xf>
    <xf numFmtId="0" fontId="130" fillId="0" borderId="0" xfId="30099" applyFont="1" applyFill="1" applyAlignment="1">
      <alignment horizontal="left"/>
    </xf>
    <xf numFmtId="0" fontId="0" fillId="0" borderId="0" xfId="0"/>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5" fillId="29" borderId="0" xfId="439" applyNumberFormat="1" applyFont="1" applyFill="1" applyAlignment="1" applyProtection="1">
      <alignment horizontal="center" vertical="center" wrapText="1"/>
      <protection locked="0"/>
    </xf>
    <xf numFmtId="0" fontId="136" fillId="79" borderId="41" xfId="30099" applyFont="1" applyFill="1" applyBorder="1" applyAlignment="1">
      <alignment vertical="center"/>
    </xf>
    <xf numFmtId="0" fontId="39" fillId="0" borderId="43" xfId="0" applyNumberFormat="1" applyFont="1" applyFill="1" applyBorder="1" applyAlignment="1" applyProtection="1">
      <alignment horizontal="center" vertical="center"/>
    </xf>
    <xf numFmtId="0" fontId="132" fillId="26" borderId="0" xfId="30099" applyFont="1" applyFill="1" applyAlignment="1">
      <alignment vertical="top" wrapText="1"/>
    </xf>
    <xf numFmtId="0" fontId="153"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1" xfId="0" applyFont="1" applyFill="1" applyBorder="1" applyAlignment="1">
      <alignment horizontal="center"/>
    </xf>
    <xf numFmtId="0" fontId="39" fillId="78" borderId="81" xfId="0" applyFont="1" applyFill="1" applyBorder="1" applyAlignment="1">
      <alignment horizont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8" fillId="0" borderId="0" xfId="30099" applyFont="1" applyAlignment="1">
      <alignment horizontal="left" vertical="top"/>
    </xf>
    <xf numFmtId="0" fontId="154" fillId="26" borderId="0" xfId="30099" applyFont="1" applyFill="1" applyAlignment="1">
      <alignment vertical="center" wrapText="1"/>
    </xf>
    <xf numFmtId="0" fontId="159" fillId="26" borderId="0" xfId="30099" applyFont="1" applyFill="1" applyAlignment="1">
      <alignment vertical="center" wrapText="1"/>
    </xf>
    <xf numFmtId="0" fontId="134" fillId="26" borderId="0" xfId="30100" applyNumberFormat="1" applyFont="1" applyFill="1" applyBorder="1" applyAlignment="1">
      <alignment horizontal="center" vertical="center"/>
    </xf>
    <xf numFmtId="164" fontId="134"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4"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60" fillId="0" borderId="25" xfId="0" applyFont="1" applyFill="1" applyBorder="1" applyAlignment="1">
      <alignment horizontal="center" vertical="center"/>
    </xf>
    <xf numFmtId="0" fontId="50" fillId="0" borderId="25" xfId="0" applyFont="1" applyFill="1" applyBorder="1" applyAlignment="1">
      <alignment horizontal="center" vertical="center" wrapText="1"/>
    </xf>
    <xf numFmtId="0" fontId="59"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70" fillId="0" borderId="0" xfId="0" applyFont="1" applyFill="1"/>
    <xf numFmtId="0" fontId="39" fillId="0" borderId="0" xfId="0" applyFont="1" applyFill="1" applyBorder="1" applyAlignment="1">
      <alignment horizontal="center" vertical="center"/>
    </xf>
    <xf numFmtId="0" fontId="53" fillId="0" borderId="30" xfId="0" applyNumberFormat="1" applyFont="1" applyFill="1" applyBorder="1" applyAlignment="1" applyProtection="1">
      <alignment horizontal="left" vertical="center" wrapText="1"/>
    </xf>
    <xf numFmtId="39" fontId="58" fillId="0" borderId="45" xfId="439" applyNumberFormat="1" applyFont="1" applyFill="1" applyBorder="1" applyAlignment="1" applyProtection="1">
      <alignment horizontal="center" vertical="center" wrapText="1"/>
    </xf>
    <xf numFmtId="0" fontId="63"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8"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8"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3" fillId="0" borderId="45" xfId="0" applyNumberFormat="1" applyFont="1" applyFill="1" applyBorder="1" applyAlignment="1" applyProtection="1">
      <alignment horizontal="left" vertical="center" wrapText="1"/>
    </xf>
    <xf numFmtId="0" fontId="58" fillId="0" borderId="28" xfId="0" applyNumberFormat="1" applyFont="1" applyFill="1" applyBorder="1" applyAlignment="1" applyProtection="1">
      <alignment horizontal="left" vertical="center" wrapText="1"/>
    </xf>
    <xf numFmtId="0" fontId="53"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8"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8" fillId="0" borderId="29" xfId="439" applyNumberFormat="1" applyFont="1" applyFill="1" applyBorder="1" applyAlignment="1" applyProtection="1">
      <alignment horizontal="center" vertical="center" wrapText="1"/>
    </xf>
    <xf numFmtId="164" fontId="58" fillId="0" borderId="23" xfId="439" applyNumberFormat="1" applyFont="1" applyFill="1" applyBorder="1" applyAlignment="1" applyProtection="1">
      <alignment horizontal="center" vertical="center" wrapText="1"/>
    </xf>
    <xf numFmtId="0" fontId="58" fillId="0" borderId="23" xfId="0" applyNumberFormat="1" applyFont="1" applyFill="1" applyBorder="1" applyAlignment="1" applyProtection="1">
      <alignment horizontal="left" vertical="center" wrapText="1"/>
    </xf>
    <xf numFmtId="39" fontId="58" fillId="0" borderId="28" xfId="439" applyNumberFormat="1" applyFont="1" applyFill="1" applyBorder="1" applyAlignment="1" applyProtection="1">
      <alignment horizontal="center" vertical="center" wrapText="1"/>
    </xf>
    <xf numFmtId="164" fontId="58"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8" fillId="34" borderId="23" xfId="0" applyNumberFormat="1" applyFont="1" applyFill="1" applyBorder="1" applyAlignment="1" applyProtection="1">
      <alignment horizontal="left" vertical="center" wrapText="1"/>
    </xf>
    <xf numFmtId="164" fontId="58" fillId="29" borderId="23" xfId="439" applyNumberFormat="1" applyFont="1" applyFill="1" applyBorder="1" applyAlignment="1" applyProtection="1">
      <alignment horizontal="center" vertical="center" wrapText="1"/>
      <protection locked="0"/>
    </xf>
    <xf numFmtId="3" fontId="58" fillId="0" borderId="23" xfId="439" applyNumberFormat="1" applyFont="1" applyFill="1" applyBorder="1" applyAlignment="1" applyProtection="1">
      <alignment horizontal="center" vertical="center" wrapText="1"/>
    </xf>
    <xf numFmtId="3" fontId="58" fillId="34" borderId="23" xfId="439" applyNumberFormat="1" applyFont="1" applyFill="1" applyBorder="1" applyAlignment="1" applyProtection="1">
      <alignment horizontal="center" vertical="center" wrapText="1"/>
    </xf>
    <xf numFmtId="0" fontId="58" fillId="22" borderId="23" xfId="439" applyNumberFormat="1" applyFont="1" applyFill="1" applyBorder="1" applyAlignment="1" applyProtection="1">
      <alignment horizontal="center" vertical="center" wrapText="1"/>
      <protection locked="0"/>
    </xf>
    <xf numFmtId="164" fontId="58"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8" fillId="0" borderId="45" xfId="439" applyNumberFormat="1" applyFont="1" applyFill="1" applyBorder="1" applyAlignment="1" applyProtection="1">
      <alignment horizontal="center" vertical="center" wrapText="1"/>
    </xf>
    <xf numFmtId="0" fontId="58"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8" fillId="78" borderId="25" xfId="0" applyNumberFormat="1" applyFont="1" applyFill="1" applyBorder="1" applyAlignment="1" applyProtection="1">
      <alignment horizontal="left" vertical="center" wrapText="1"/>
    </xf>
    <xf numFmtId="0" fontId="58"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0"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83" fontId="45" fillId="0" borderId="0" xfId="439" applyNumberFormat="1" applyFont="1" applyFill="1" applyAlignment="1" applyProtection="1">
      <alignment horizontal="center" vertical="center" wrapText="1"/>
    </xf>
    <xf numFmtId="164" fontId="50" fillId="0" borderId="0" xfId="0" applyNumberFormat="1" applyFont="1" applyFill="1" applyAlignment="1" applyProtection="1">
      <alignment wrapText="1"/>
    </xf>
    <xf numFmtId="0" fontId="128" fillId="26" borderId="0" xfId="30099" applyFont="1" applyFill="1" applyAlignment="1">
      <alignment horizontal="left" vertical="top" wrapText="1"/>
    </xf>
    <xf numFmtId="164" fontId="50"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1" fillId="80" borderId="57" xfId="30099" applyFont="1" applyFill="1" applyBorder="1" applyAlignment="1" applyProtection="1">
      <alignment horizontal="center" vertical="center"/>
      <protection locked="0"/>
    </xf>
    <xf numFmtId="0" fontId="128" fillId="80" borderId="57" xfId="30099" applyFont="1" applyFill="1" applyBorder="1" applyAlignment="1" applyProtection="1">
      <alignment horizontal="center" vertical="center"/>
      <protection locked="0"/>
    </xf>
    <xf numFmtId="14" fontId="128" fillId="80" borderId="57" xfId="30099" applyNumberFormat="1" applyFont="1" applyFill="1" applyBorder="1" applyAlignment="1" applyProtection="1">
      <alignment horizontal="center" vertical="center"/>
      <protection locked="0"/>
    </xf>
    <xf numFmtId="164" fontId="134" fillId="26" borderId="0" xfId="30100" applyNumberFormat="1" applyFont="1" applyFill="1" applyBorder="1" applyAlignment="1"/>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38" fontId="53" fillId="26" borderId="0" xfId="682" applyNumberFormat="1" applyFont="1" applyFill="1"/>
    <xf numFmtId="0" fontId="39" fillId="0" borderId="0" xfId="682" applyFont="1" applyFill="1" applyAlignment="1">
      <alignment wrapText="1"/>
    </xf>
    <xf numFmtId="0" fontId="0" fillId="0" borderId="0" xfId="682" applyFont="1"/>
    <xf numFmtId="0" fontId="161" fillId="26" borderId="0" xfId="682" applyFont="1" applyFill="1"/>
    <xf numFmtId="0" fontId="0" fillId="26" borderId="0" xfId="682" applyFont="1" applyFill="1"/>
    <xf numFmtId="0" fontId="50" fillId="0" borderId="17" xfId="682" applyFont="1" applyBorder="1" applyAlignment="1">
      <alignment horizontal="center"/>
    </xf>
    <xf numFmtId="0" fontId="162" fillId="0" borderId="0" xfId="682" applyFont="1"/>
    <xf numFmtId="0" fontId="162" fillId="0" borderId="0" xfId="682" applyFont="1" applyAlignment="1">
      <alignment vertical="center"/>
    </xf>
    <xf numFmtId="0" fontId="50" fillId="0" borderId="14" xfId="682" applyFont="1" applyBorder="1" applyAlignment="1">
      <alignment horizontal="center" vertical="center" wrapText="1"/>
    </xf>
    <xf numFmtId="0" fontId="163" fillId="0" borderId="0" xfId="682" applyFont="1"/>
    <xf numFmtId="0" fontId="53" fillId="0" borderId="0" xfId="682" applyFont="1"/>
    <xf numFmtId="167" fontId="164" fillId="26" borderId="0" xfId="546" applyNumberFormat="1" applyFont="1" applyFill="1"/>
    <xf numFmtId="167" fontId="53" fillId="0" borderId="0" xfId="546" applyNumberFormat="1" applyFont="1"/>
    <xf numFmtId="38" fontId="164" fillId="26" borderId="0" xfId="682" applyNumberFormat="1" applyFont="1" applyFill="1"/>
    <xf numFmtId="38" fontId="53" fillId="0" borderId="0" xfId="682" applyNumberFormat="1" applyFont="1"/>
    <xf numFmtId="38" fontId="0" fillId="26" borderId="0" xfId="682" applyNumberFormat="1" applyFont="1" applyFill="1"/>
    <xf numFmtId="38" fontId="53" fillId="26" borderId="17" xfId="449" applyNumberFormat="1" applyFont="1" applyFill="1" applyBorder="1"/>
    <xf numFmtId="38" fontId="53" fillId="0" borderId="0" xfId="449" applyNumberFormat="1" applyFont="1"/>
    <xf numFmtId="0" fontId="50" fillId="27" borderId="0" xfId="682" applyFont="1" applyFill="1"/>
    <xf numFmtId="0" fontId="0" fillId="27" borderId="0" xfId="682" applyFont="1" applyFill="1"/>
    <xf numFmtId="0" fontId="53" fillId="27" borderId="0" xfId="682" applyFont="1" applyFill="1"/>
    <xf numFmtId="167" fontId="50" fillId="27" borderId="0" xfId="546" applyNumberFormat="1" applyFont="1" applyFill="1"/>
    <xf numFmtId="167" fontId="53" fillId="27" borderId="0" xfId="546" applyNumberFormat="1" applyFont="1" applyFill="1"/>
    <xf numFmtId="164" fontId="53" fillId="26" borderId="17" xfId="449" applyNumberFormat="1" applyFont="1" applyFill="1" applyBorder="1"/>
    <xf numFmtId="164" fontId="53" fillId="0" borderId="0" xfId="449" applyNumberFormat="1" applyFont="1"/>
    <xf numFmtId="0" fontId="163" fillId="0" borderId="0" xfId="682" applyFont="1" applyAlignment="1">
      <alignment vertical="center"/>
    </xf>
    <xf numFmtId="0" fontId="165" fillId="0" borderId="0" xfId="682" applyFont="1"/>
    <xf numFmtId="38" fontId="53" fillId="26" borderId="0" xfId="449" applyNumberFormat="1" applyFont="1" applyFill="1"/>
    <xf numFmtId="167" fontId="50" fillId="27" borderId="18" xfId="546" applyNumberFormat="1" applyFont="1" applyFill="1" applyBorder="1"/>
    <xf numFmtId="167" fontId="53" fillId="26" borderId="19" xfId="546" applyNumberFormat="1" applyFont="1" applyFill="1" applyBorder="1"/>
    <xf numFmtId="0" fontId="50" fillId="0" borderId="0" xfId="682" applyFont="1"/>
    <xf numFmtId="167" fontId="50" fillId="0" borderId="20" xfId="546" applyNumberFormat="1" applyFont="1" applyBorder="1"/>
    <xf numFmtId="0" fontId="50" fillId="0" borderId="0" xfId="682" applyFont="1" applyAlignment="1">
      <alignment horizontal="center"/>
    </xf>
    <xf numFmtId="167" fontId="164" fillId="0" borderId="0" xfId="546" applyNumberFormat="1" applyFont="1" applyFill="1"/>
    <xf numFmtId="38" fontId="164" fillId="26" borderId="0" xfId="0" applyNumberFormat="1" applyFont="1" applyFill="1"/>
    <xf numFmtId="38" fontId="164" fillId="0" borderId="0" xfId="449" applyNumberFormat="1" applyFont="1" applyFill="1"/>
    <xf numFmtId="38" fontId="164" fillId="26" borderId="17" xfId="0" applyNumberFormat="1" applyFont="1" applyFill="1" applyBorder="1"/>
    <xf numFmtId="38" fontId="164" fillId="0" borderId="17" xfId="449" applyNumberFormat="1" applyFont="1" applyFill="1" applyBorder="1"/>
    <xf numFmtId="167" fontId="53" fillId="0" borderId="19" xfId="546" applyNumberFormat="1" applyFont="1" applyBorder="1"/>
    <xf numFmtId="10" fontId="50" fillId="0" borderId="19" xfId="682" applyNumberFormat="1" applyFont="1" applyBorder="1"/>
    <xf numFmtId="0" fontId="39" fillId="78" borderId="75" xfId="0" applyFont="1" applyFill="1" applyBorder="1" applyAlignment="1">
      <alignment horizontal="left"/>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8"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5"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67"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5"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67"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8"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6"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8"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5"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5" fillId="0" borderId="0" xfId="439" applyNumberFormat="1" applyFont="1" applyFill="1" applyProtection="1"/>
    <xf numFmtId="38" fontId="45"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5" fillId="0" borderId="0" xfId="0" applyNumberFormat="1" applyFont="1" applyFill="1" applyAlignment="1" applyProtection="1">
      <alignment horizontal="left" vertical="center" wrapText="1"/>
    </xf>
    <xf numFmtId="0" fontId="54"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5" fillId="0" borderId="0" xfId="0" applyFont="1" applyFill="1" applyAlignment="1" applyProtection="1">
      <alignment horizontal="left" vertical="center" wrapText="1"/>
      <protection hidden="1"/>
    </xf>
    <xf numFmtId="0" fontId="45" fillId="0" borderId="61" xfId="0" applyFont="1" applyFill="1" applyBorder="1" applyAlignment="1">
      <alignment vertical="center" wrapText="1"/>
    </xf>
    <xf numFmtId="0" fontId="71" fillId="0" borderId="45" xfId="0" applyNumberFormat="1" applyFont="1" applyFill="1" applyBorder="1" applyAlignment="1" applyProtection="1">
      <alignment horizontal="left" vertical="center" wrapText="1"/>
    </xf>
    <xf numFmtId="0" fontId="63"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5"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1"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70" fillId="28" borderId="0" xfId="439" applyNumberFormat="1" applyFont="1" applyFill="1" applyAlignment="1" applyProtection="1">
      <alignment wrapText="1"/>
    </xf>
    <xf numFmtId="41" fontId="71"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0"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0"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0" fillId="0" borderId="0" xfId="0" applyNumberFormat="1" applyFont="1" applyFill="1" applyAlignment="1" applyProtection="1">
      <alignment wrapText="1"/>
    </xf>
    <xf numFmtId="0" fontId="70" fillId="0" borderId="0" xfId="0" applyFont="1" applyFill="1" applyProtection="1"/>
    <xf numFmtId="164" fontId="0" fillId="0" borderId="45" xfId="0" applyNumberFormat="1" applyFont="1" applyFill="1" applyBorder="1" applyAlignment="1" applyProtection="1">
      <alignment wrapText="1"/>
      <protection locked="0"/>
    </xf>
    <xf numFmtId="0" fontId="71" fillId="0" borderId="0" xfId="0" applyFont="1" applyFill="1" applyAlignment="1" applyProtection="1">
      <alignment wrapText="1"/>
    </xf>
    <xf numFmtId="0" fontId="39" fillId="0" borderId="0" xfId="0" applyFont="1" applyFill="1" applyAlignment="1" applyProtection="1">
      <alignment horizontal="center" vertical="center" wrapText="1"/>
    </xf>
    <xf numFmtId="0" fontId="71" fillId="0" borderId="0" xfId="0" applyFont="1" applyFill="1" applyAlignment="1" applyProtection="1">
      <alignment horizontal="left" wrapText="1" indent="2"/>
    </xf>
    <xf numFmtId="0" fontId="0" fillId="0" borderId="0" xfId="0" applyFont="1" applyBorder="1" applyAlignment="1" applyProtection="1">
      <alignment wrapText="1"/>
    </xf>
    <xf numFmtId="41" fontId="71" fillId="0" borderId="45" xfId="0" applyNumberFormat="1" applyFont="1" applyFill="1" applyBorder="1" applyAlignment="1" applyProtection="1">
      <alignment wrapText="1"/>
    </xf>
    <xf numFmtId="41" fontId="71" fillId="0" borderId="45" xfId="0" applyNumberFormat="1" applyFont="1" applyBorder="1" applyAlignment="1">
      <alignment wrapText="1"/>
    </xf>
    <xf numFmtId="41" fontId="71"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1"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1"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0" fillId="0" borderId="0" xfId="439" applyNumberFormat="1" applyFont="1" applyFill="1" applyAlignment="1" applyProtection="1">
      <alignment vertical="center" wrapText="1"/>
    </xf>
    <xf numFmtId="39" fontId="70"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0"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70"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5"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4"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5" fillId="0" borderId="45" xfId="0" applyFont="1" applyFill="1" applyBorder="1" applyAlignment="1" applyProtection="1">
      <alignment wrapText="1"/>
    </xf>
    <xf numFmtId="0" fontId="174" fillId="0" borderId="0" xfId="0" applyFont="1" applyFill="1" applyAlignment="1" applyProtection="1">
      <alignment horizontal="left" vertical="center" wrapText="1"/>
    </xf>
    <xf numFmtId="0" fontId="63" fillId="0" borderId="36" xfId="0" applyNumberFormat="1" applyFont="1" applyFill="1" applyBorder="1" applyAlignment="1" applyProtection="1">
      <alignment horizontal="left" vertical="center" wrapText="1"/>
    </xf>
    <xf numFmtId="0" fontId="45" fillId="0" borderId="0" xfId="0" applyFont="1" applyFill="1" applyAlignment="1" applyProtection="1">
      <alignment wrapText="1"/>
    </xf>
    <xf numFmtId="0" fontId="63" fillId="0" borderId="0" xfId="0" applyFont="1" applyAlignment="1">
      <alignment wrapText="1"/>
    </xf>
    <xf numFmtId="0" fontId="45" fillId="0" borderId="45" xfId="0" applyFont="1" applyBorder="1" applyAlignment="1">
      <alignment horizontal="center" vertical="center" wrapText="1"/>
    </xf>
    <xf numFmtId="0" fontId="39"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5" fillId="0" borderId="0" xfId="0" applyFont="1" applyFill="1" applyAlignment="1" applyProtection="1">
      <alignment horizontal="center" vertical="center" wrapText="1"/>
    </xf>
    <xf numFmtId="0" fontId="45"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5"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5" fillId="34"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3" fontId="181" fillId="0" borderId="0" xfId="1540" applyFont="1" applyFill="1" applyAlignment="1" applyProtection="1">
      <alignment vertical="center" wrapText="1"/>
    </xf>
    <xf numFmtId="0" fontId="59" fillId="0" borderId="0" xfId="30099" applyFont="1" applyFill="1" applyAlignment="1">
      <alignment horizontal="left" vertical="top" wrapText="1"/>
    </xf>
    <xf numFmtId="0" fontId="59"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0"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59" fillId="74" borderId="0" xfId="0" applyFont="1" applyFill="1" applyAlignment="1" applyProtection="1">
      <alignment horizontal="left" vertical="center"/>
    </xf>
    <xf numFmtId="0" fontId="45"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1"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1" fillId="74" borderId="0" xfId="0" applyFont="1" applyFill="1" applyAlignment="1" applyProtection="1"/>
    <xf numFmtId="0" fontId="39" fillId="74" borderId="0" xfId="0" applyFont="1" applyFill="1" applyAlignment="1" applyProtection="1">
      <alignment horizontal="center" vertical="center" wrapText="1"/>
      <protection locked="0"/>
    </xf>
    <xf numFmtId="0" fontId="71"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3"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5"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70"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5" fillId="74" borderId="0" xfId="439" applyNumberFormat="1" applyFont="1" applyFill="1" applyProtection="1"/>
    <xf numFmtId="0" fontId="183"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1"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4" fillId="74" borderId="0" xfId="0" applyFont="1" applyFill="1" applyAlignment="1" applyProtection="1">
      <alignment horizontal="left" vertical="center"/>
    </xf>
    <xf numFmtId="0" fontId="83" fillId="74" borderId="0" xfId="0" applyFont="1" applyFill="1" applyAlignment="1" applyProtection="1">
      <alignment vertical="center"/>
    </xf>
    <xf numFmtId="0" fontId="185" fillId="74" borderId="0" xfId="0" applyFont="1" applyFill="1" applyAlignment="1" applyProtection="1">
      <alignment vertical="center"/>
      <protection locked="0"/>
    </xf>
    <xf numFmtId="0" fontId="63" fillId="74" borderId="36" xfId="0" applyNumberFormat="1" applyFont="1" applyFill="1" applyBorder="1" applyAlignment="1" applyProtection="1">
      <alignment horizontal="left" vertical="center" wrapText="1"/>
    </xf>
    <xf numFmtId="0" fontId="54" fillId="74" borderId="0" xfId="0" applyNumberFormat="1" applyFont="1" applyFill="1" applyAlignment="1" applyProtection="1">
      <alignment horizontal="left" vertical="center" wrapText="1"/>
    </xf>
    <xf numFmtId="168" fontId="39" fillId="29" borderId="0" xfId="439" applyNumberFormat="1" applyFont="1" applyFill="1" applyAlignment="1" applyProtection="1">
      <alignment horizontal="center" vertical="center"/>
      <protection locked="0"/>
    </xf>
    <xf numFmtId="0" fontId="59" fillId="74" borderId="0" xfId="0" applyFont="1" applyFill="1" applyAlignment="1">
      <alignment vertical="center" wrapText="1"/>
    </xf>
    <xf numFmtId="41" fontId="71" fillId="36" borderId="85" xfId="439" applyNumberFormat="1" applyFont="1" applyFill="1" applyBorder="1" applyAlignment="1">
      <alignment vertical="center" wrapText="1"/>
    </xf>
    <xf numFmtId="41" fontId="71" fillId="36" borderId="0" xfId="439" applyNumberFormat="1" applyFont="1" applyFill="1" applyAlignment="1">
      <alignment vertical="center" wrapText="1"/>
    </xf>
    <xf numFmtId="41" fontId="71" fillId="36" borderId="86" xfId="439" applyNumberFormat="1" applyFont="1" applyFill="1" applyBorder="1" applyAlignment="1">
      <alignment vertical="center" wrapText="1"/>
    </xf>
    <xf numFmtId="41" fontId="186" fillId="0" borderId="0" xfId="0" applyNumberFormat="1" applyFont="1" applyFill="1" applyAlignment="1" applyProtection="1">
      <alignment wrapText="1"/>
    </xf>
    <xf numFmtId="0" fontId="59"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5" fillId="22" borderId="0" xfId="439" applyNumberFormat="1" applyFont="1" applyFill="1" applyAlignment="1" applyProtection="1">
      <alignment horizontal="center" vertical="center" wrapText="1"/>
    </xf>
    <xf numFmtId="41" fontId="71" fillId="0" borderId="0" xfId="0" applyNumberFormat="1" applyFont="1" applyFill="1" applyAlignment="1" applyProtection="1">
      <alignment vertical="center" wrapText="1"/>
    </xf>
    <xf numFmtId="166" fontId="0" fillId="21" borderId="16" xfId="0" applyNumberFormat="1" applyFont="1" applyFill="1" applyBorder="1" applyProtection="1"/>
    <xf numFmtId="0" fontId="39" fillId="78" borderId="10" xfId="0" applyFont="1" applyFill="1" applyBorder="1" applyAlignment="1">
      <alignment wrapText="1"/>
    </xf>
    <xf numFmtId="3" fontId="45" fillId="0" borderId="0" xfId="439" applyNumberFormat="1" applyFont="1" applyFill="1" applyAlignment="1" applyProtection="1">
      <alignment horizontal="center" vertical="center" wrapText="1"/>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0" fillId="0" borderId="0" xfId="0" applyAlignment="1">
      <alignment wrapText="1"/>
    </xf>
    <xf numFmtId="0" fontId="0" fillId="0" borderId="87" xfId="0" applyBorder="1"/>
    <xf numFmtId="0" fontId="0" fillId="0" borderId="77" xfId="0" applyBorder="1"/>
    <xf numFmtId="0" fontId="0" fillId="0" borderId="78" xfId="0" applyBorder="1"/>
    <xf numFmtId="0" fontId="0" fillId="0" borderId="90" xfId="0" applyBorder="1"/>
    <xf numFmtId="0" fontId="0" fillId="78" borderId="75" xfId="0" applyFill="1" applyBorder="1"/>
    <xf numFmtId="0" fontId="0" fillId="78" borderId="91" xfId="0" applyFill="1" applyBorder="1"/>
    <xf numFmtId="0" fontId="190"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0" fillId="0" borderId="80"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92" xfId="0" applyFill="1" applyBorder="1" applyAlignment="1">
      <alignment horizontal="left" vertical="center" wrapText="1"/>
    </xf>
    <xf numFmtId="0" fontId="50"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77"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59" fillId="78" borderId="13" xfId="0" applyFont="1" applyFill="1" applyBorder="1" applyAlignment="1">
      <alignment wrapText="1"/>
    </xf>
    <xf numFmtId="0" fontId="39" fillId="78" borderId="16" xfId="0" applyFont="1" applyFill="1" applyBorder="1" applyAlignment="1">
      <alignment horizontal="center"/>
    </xf>
    <xf numFmtId="0" fontId="0" fillId="78" borderId="11" xfId="0" applyFill="1" applyBorder="1" applyAlignment="1">
      <alignment wrapText="1"/>
    </xf>
    <xf numFmtId="0" fontId="59"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77" xfId="0" applyNumberFormat="1" applyBorder="1"/>
    <xf numFmtId="168" fontId="0" fillId="0" borderId="78" xfId="0" applyNumberFormat="1" applyBorder="1"/>
    <xf numFmtId="0" fontId="39"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2" xfId="0" applyBorder="1" applyAlignment="1">
      <alignment horizontal="center" vertical="center" wrapText="1"/>
    </xf>
    <xf numFmtId="2" fontId="0" fillId="0" borderId="72" xfId="0" applyNumberFormat="1" applyBorder="1" applyAlignment="1">
      <alignment horizontal="center" vertical="center"/>
    </xf>
    <xf numFmtId="0" fontId="0" fillId="78" borderId="93" xfId="0" applyFill="1" applyBorder="1" applyAlignment="1">
      <alignment horizontal="center" vertical="center" wrapText="1"/>
    </xf>
    <xf numFmtId="0" fontId="39" fillId="0" borderId="37" xfId="0" applyFont="1" applyBorder="1" applyAlignment="1">
      <alignment vertical="center" wrapText="1"/>
    </xf>
    <xf numFmtId="0" fontId="39" fillId="0" borderId="70" xfId="0" applyFont="1" applyBorder="1" applyAlignment="1">
      <alignment horizontal="center"/>
    </xf>
    <xf numFmtId="0" fontId="0" fillId="78" borderId="60" xfId="0" applyFill="1" applyBorder="1" applyAlignment="1">
      <alignment horizontal="center" vertical="center" wrapText="1"/>
    </xf>
    <xf numFmtId="0" fontId="39"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1" borderId="57" xfId="0" applyNumberFormat="1" applyFill="1" applyBorder="1" applyAlignment="1">
      <alignment horizontal="center" wrapText="1"/>
    </xf>
    <xf numFmtId="37" fontId="83" fillId="0" borderId="57" xfId="0" applyNumberFormat="1" applyFont="1" applyBorder="1" applyAlignment="1">
      <alignment horizontal="center" wrapText="1"/>
    </xf>
    <xf numFmtId="43" fontId="0" fillId="0" borderId="0" xfId="439" applyFont="1" applyFill="1" applyBorder="1"/>
    <xf numFmtId="0" fontId="39" fillId="0" borderId="94" xfId="0" applyFont="1" applyBorder="1" applyAlignment="1">
      <alignment wrapText="1"/>
    </xf>
    <xf numFmtId="0" fontId="0" fillId="0" borderId="81" xfId="0" applyBorder="1"/>
    <xf numFmtId="0" fontId="0" fillId="0" borderId="81" xfId="0" applyBorder="1" applyAlignment="1">
      <alignment horizontal="center" wrapText="1"/>
    </xf>
    <xf numFmtId="0" fontId="0" fillId="0" borderId="81" xfId="0" applyBorder="1" applyAlignment="1">
      <alignment wrapText="1"/>
    </xf>
    <xf numFmtId="0" fontId="0" fillId="73" borderId="95" xfId="0" applyFill="1" applyBorder="1" applyAlignment="1">
      <alignment wrapText="1"/>
    </xf>
    <xf numFmtId="0" fontId="59"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39" fillId="0" borderId="57" xfId="0" applyFont="1" applyBorder="1" applyAlignment="1">
      <alignment vertical="center" wrapText="1"/>
    </xf>
    <xf numFmtId="0" fontId="39" fillId="0" borderId="57" xfId="0" applyFont="1" applyBorder="1" applyAlignment="1">
      <alignment horizontal="center"/>
    </xf>
    <xf numFmtId="167" fontId="0" fillId="0" borderId="57" xfId="545" applyNumberFormat="1" applyFont="1" applyFill="1" applyBorder="1" applyAlignment="1">
      <alignment horizontal="center"/>
    </xf>
    <xf numFmtId="0" fontId="39" fillId="0" borderId="96" xfId="0" applyFont="1" applyBorder="1" applyAlignment="1">
      <alignment wrapText="1"/>
    </xf>
    <xf numFmtId="0" fontId="0" fillId="0" borderId="97" xfId="0" applyBorder="1"/>
    <xf numFmtId="0" fontId="0" fillId="0" borderId="97" xfId="0" applyBorder="1" applyAlignment="1">
      <alignment horizontal="center" wrapText="1"/>
    </xf>
    <xf numFmtId="0" fontId="0" fillId="0" borderId="97" xfId="0" applyBorder="1" applyAlignment="1">
      <alignment wrapText="1"/>
    </xf>
    <xf numFmtId="0" fontId="0" fillId="78" borderId="81" xfId="0" applyFill="1" applyBorder="1"/>
    <xf numFmtId="0" fontId="39" fillId="78" borderId="83"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39" fillId="78" borderId="11" xfId="0" applyFont="1" applyFill="1" applyBorder="1" applyAlignment="1">
      <alignment horizontal="center" wrapText="1"/>
    </xf>
    <xf numFmtId="0" fontId="39"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39" fillId="0" borderId="57" xfId="0" applyNumberFormat="1" applyFont="1" applyBorder="1" applyAlignment="1">
      <alignment horizontal="center"/>
    </xf>
    <xf numFmtId="0" fontId="0" fillId="0" borderId="99" xfId="0" applyBorder="1"/>
    <xf numFmtId="0" fontId="39" fillId="0" borderId="0" xfId="0" applyFont="1" applyAlignment="1">
      <alignment wrapText="1"/>
    </xf>
    <xf numFmtId="0" fontId="0" fillId="0" borderId="89" xfId="0" applyBorder="1"/>
    <xf numFmtId="0" fontId="39"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5" fillId="81" borderId="57" xfId="0" applyFont="1" applyFill="1" applyBorder="1" applyAlignment="1">
      <alignment horizontal="center" wrapText="1"/>
    </xf>
    <xf numFmtId="0" fontId="0" fillId="81" borderId="57" xfId="0" applyFill="1" applyBorder="1" applyAlignment="1">
      <alignment horizontal="center" wrapText="1"/>
    </xf>
    <xf numFmtId="37" fontId="45" fillId="0" borderId="57" xfId="0" applyNumberFormat="1" applyFont="1" applyBorder="1" applyAlignment="1">
      <alignment horizontal="center"/>
    </xf>
    <xf numFmtId="37" fontId="45" fillId="0" borderId="57" xfId="0" applyNumberFormat="1" applyFont="1" applyBorder="1" applyAlignment="1">
      <alignment horizontal="center" wrapText="1"/>
    </xf>
    <xf numFmtId="37" fontId="0" fillId="0" borderId="0" xfId="0" applyNumberFormat="1" applyAlignment="1">
      <alignment horizontal="center"/>
    </xf>
    <xf numFmtId="0" fontId="0" fillId="0" borderId="82" xfId="0" applyBorder="1"/>
    <xf numFmtId="0" fontId="0" fillId="0" borderId="82" xfId="0" applyBorder="1" applyAlignment="1">
      <alignment wrapText="1"/>
    </xf>
    <xf numFmtId="0" fontId="0" fillId="0" borderId="78" xfId="0" applyBorder="1" applyAlignment="1">
      <alignment wrapText="1"/>
    </xf>
    <xf numFmtId="2" fontId="0" fillId="0" borderId="57" xfId="0" applyNumberFormat="1" applyBorder="1" applyAlignment="1">
      <alignment horizontal="center"/>
    </xf>
    <xf numFmtId="0" fontId="0" fillId="0" borderId="83" xfId="0" applyBorder="1"/>
    <xf numFmtId="0" fontId="0" fillId="0" borderId="88" xfId="0" applyBorder="1"/>
    <xf numFmtId="0" fontId="0" fillId="78" borderId="70" xfId="0" applyFill="1" applyBorder="1" applyAlignment="1">
      <alignment horizontal="center" vertical="center" wrapText="1"/>
    </xf>
    <xf numFmtId="0" fontId="59" fillId="78" borderId="57" xfId="0" applyFont="1" applyFill="1" applyBorder="1" applyAlignment="1">
      <alignment horizontal="center" vertical="center" wrapText="1"/>
    </xf>
    <xf numFmtId="0" fontId="59" fillId="78" borderId="57" xfId="0" applyFont="1" applyFill="1" applyBorder="1" applyAlignment="1">
      <alignment horizontal="center" wrapText="1"/>
    </xf>
    <xf numFmtId="0" fontId="37" fillId="78" borderId="57" xfId="0" applyFont="1" applyFill="1" applyBorder="1" applyAlignment="1">
      <alignment vertical="center" wrapText="1"/>
    </xf>
    <xf numFmtId="0" fontId="46" fillId="78" borderId="57" xfId="0" applyFont="1" applyFill="1" applyBorder="1" applyAlignment="1">
      <alignment vertical="center" wrapText="1"/>
    </xf>
    <xf numFmtId="0" fontId="39"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0" fillId="0" borderId="0" xfId="0" applyFont="1" applyFill="1" applyBorder="1" applyAlignment="1">
      <alignment vertical="center" wrapText="1"/>
    </xf>
    <xf numFmtId="0" fontId="0" fillId="0" borderId="89" xfId="0" applyBorder="1" applyAlignment="1">
      <alignment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6" fillId="78" borderId="57" xfId="0" quotePrefix="1" applyFont="1" applyFill="1" applyBorder="1" applyAlignment="1">
      <alignment horizontal="center" vertical="center" wrapText="1"/>
    </xf>
    <xf numFmtId="0" fontId="46" fillId="78" borderId="57" xfId="0" applyFont="1" applyFill="1" applyBorder="1" applyAlignment="1">
      <alignment horizontal="center" vertical="center" wrapText="1"/>
    </xf>
    <xf numFmtId="0" fontId="46"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6" fillId="78" borderId="13" xfId="0" applyFont="1" applyFill="1" applyBorder="1" applyAlignment="1">
      <alignment vertical="center" wrapText="1"/>
    </xf>
    <xf numFmtId="0" fontId="46" fillId="0" borderId="83" xfId="0" applyFont="1" applyFill="1" applyBorder="1" applyAlignment="1">
      <alignment vertical="center"/>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0" fontId="46" fillId="78" borderId="13" xfId="0" applyFont="1" applyFill="1" applyBorder="1" applyAlignment="1">
      <alignment vertical="center"/>
    </xf>
    <xf numFmtId="0" fontId="46" fillId="78" borderId="13" xfId="0" applyFont="1" applyFill="1" applyBorder="1" applyAlignment="1">
      <alignment horizontal="left" vertical="center" wrapText="1"/>
    </xf>
    <xf numFmtId="0" fontId="46" fillId="78" borderId="101" xfId="0" applyFont="1" applyFill="1" applyBorder="1" applyAlignment="1">
      <alignment vertical="center" wrapText="1"/>
    </xf>
    <xf numFmtId="0" fontId="0" fillId="78" borderId="92"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87"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5" fillId="78" borderId="11" xfId="0" applyFont="1" applyFill="1" applyBorder="1" applyAlignment="1">
      <alignment horizontal="center" vertical="center" wrapText="1"/>
    </xf>
    <xf numFmtId="0" fontId="46" fillId="78" borderId="57" xfId="0" applyFont="1" applyFill="1" applyBorder="1" applyAlignment="1">
      <alignment wrapText="1"/>
    </xf>
    <xf numFmtId="0" fontId="0" fillId="78" borderId="79" xfId="0" applyFill="1" applyBorder="1" applyAlignment="1">
      <alignment vertical="center" wrapText="1"/>
    </xf>
    <xf numFmtId="0" fontId="0" fillId="0" borderId="57" xfId="0" applyBorder="1"/>
    <xf numFmtId="0" fontId="46"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0" fontId="0" fillId="0" borderId="0" xfId="0" applyNumberFormat="1" applyFont="1" applyFill="1" applyBorder="1" applyAlignment="1">
      <alignment horizontal="center"/>
    </xf>
    <xf numFmtId="0" fontId="63" fillId="0" borderId="0" xfId="0" applyFont="1" applyFill="1" applyBorder="1" applyAlignment="1">
      <alignment vertical="center" wrapText="1"/>
    </xf>
    <xf numFmtId="0" fontId="0" fillId="0" borderId="0" xfId="0"/>
    <xf numFmtId="0" fontId="0" fillId="0" borderId="0" xfId="0" applyAlignment="1">
      <alignment wrapText="1"/>
    </xf>
    <xf numFmtId="1" fontId="0" fillId="0" borderId="0" xfId="0" applyNumberFormat="1" applyAlignment="1">
      <alignment wrapText="1"/>
    </xf>
    <xf numFmtId="1" fontId="191" fillId="0" borderId="0" xfId="0" applyNumberFormat="1" applyFont="1" applyAlignment="1">
      <alignment horizontal="center"/>
    </xf>
    <xf numFmtId="1" fontId="192" fillId="0" borderId="0" xfId="0" applyNumberFormat="1" applyFont="1" applyAlignment="1">
      <alignment horizontal="center" vertical="center"/>
    </xf>
    <xf numFmtId="1" fontId="50" fillId="0" borderId="0" xfId="0" applyNumberFormat="1" applyFont="1" applyAlignment="1">
      <alignment horizontal="center" vertical="center"/>
    </xf>
    <xf numFmtId="0" fontId="191" fillId="0" borderId="0" xfId="0" applyFont="1" applyAlignment="1">
      <alignment horizontal="center"/>
    </xf>
    <xf numFmtId="1" fontId="193" fillId="0" borderId="0" xfId="0" applyNumberFormat="1" applyFont="1" applyAlignment="1">
      <alignment horizontal="center"/>
    </xf>
    <xf numFmtId="0" fontId="193" fillId="0" borderId="0" xfId="0" applyFont="1" applyAlignment="1">
      <alignment horizontal="center"/>
    </xf>
    <xf numFmtId="0" fontId="0" fillId="0" borderId="0" xfId="0" applyAlignment="1">
      <alignment horizontal="center"/>
    </xf>
    <xf numFmtId="3" fontId="193" fillId="0" borderId="0" xfId="439" applyNumberFormat="1" applyFont="1" applyFill="1" applyAlignment="1">
      <alignment horizontal="center"/>
    </xf>
    <xf numFmtId="3" fontId="60" fillId="0" borderId="0" xfId="0" applyNumberFormat="1" applyFont="1" applyAlignment="1">
      <alignment horizontal="center" vertical="center"/>
    </xf>
    <xf numFmtId="3" fontId="193" fillId="0" borderId="0" xfId="0" applyNumberFormat="1" applyFont="1" applyAlignment="1">
      <alignment horizontal="center"/>
    </xf>
    <xf numFmtId="164" fontId="0" fillId="0" borderId="0" xfId="439" applyNumberFormat="1" applyFont="1" applyFill="1" applyAlignment="1">
      <alignment horizontal="center"/>
    </xf>
    <xf numFmtId="4" fontId="193" fillId="0" borderId="0" xfId="0" applyNumberFormat="1" applyFont="1" applyAlignment="1">
      <alignment horizontal="center"/>
    </xf>
    <xf numFmtId="0" fontId="44" fillId="0" borderId="0" xfId="31723" applyFont="1" applyAlignment="1">
      <alignment horizontal="center"/>
    </xf>
    <xf numFmtId="38" fontId="0" fillId="0" borderId="0" xfId="0" applyNumberFormat="1"/>
    <xf numFmtId="38" fontId="63" fillId="0" borderId="0" xfId="0" applyNumberFormat="1" applyFont="1" applyAlignment="1">
      <alignment horizontal="right" vertical="center" wrapText="1"/>
    </xf>
    <xf numFmtId="10" fontId="0" fillId="0" borderId="0" xfId="0" applyNumberFormat="1"/>
    <xf numFmtId="2" fontId="63" fillId="0" borderId="0" xfId="0" applyNumberFormat="1" applyFont="1" applyAlignment="1">
      <alignment horizontal="center" vertical="center"/>
    </xf>
    <xf numFmtId="164" fontId="63" fillId="0" borderId="0" xfId="440" applyNumberFormat="1" applyFont="1" applyFill="1" applyAlignment="1" applyProtection="1">
      <alignment horizontal="center" vertical="center"/>
    </xf>
    <xf numFmtId="40" fontId="0" fillId="0" borderId="0" xfId="0" applyNumberFormat="1"/>
    <xf numFmtId="3" fontId="0" fillId="0" borderId="0" xfId="0" applyNumberFormat="1"/>
    <xf numFmtId="164" fontId="0" fillId="0" borderId="0" xfId="439" applyNumberFormat="1" applyFont="1" applyFill="1"/>
    <xf numFmtId="0" fontId="34" fillId="0" borderId="0" xfId="31723"/>
    <xf numFmtId="164" fontId="45" fillId="22" borderId="0" xfId="439" applyNumberFormat="1" applyFont="1" applyFill="1" applyAlignment="1" applyProtection="1">
      <alignment horizontal="center" vertical="center" wrapText="1"/>
    </xf>
    <xf numFmtId="41" fontId="71" fillId="0" borderId="0" xfId="439" applyNumberFormat="1" applyFont="1" applyFill="1" applyAlignment="1" applyProtection="1">
      <alignment horizontal="center" vertical="center" wrapText="1"/>
      <protection locked="0"/>
    </xf>
    <xf numFmtId="0" fontId="134" fillId="26" borderId="0" xfId="30099" applyFont="1" applyFill="1" applyAlignment="1">
      <alignment horizontal="left" wrapText="1"/>
    </xf>
    <xf numFmtId="0" fontId="128" fillId="26" borderId="0" xfId="30099" applyFont="1" applyFill="1" applyAlignment="1">
      <alignment horizontal="left" vertical="top" wrapText="1"/>
    </xf>
    <xf numFmtId="0" fontId="63" fillId="0" borderId="45" xfId="0" applyNumberFormat="1" applyFont="1" applyFill="1" applyBorder="1" applyAlignment="1" applyProtection="1">
      <alignment vertical="center" wrapText="1"/>
    </xf>
    <xf numFmtId="38" fontId="45" fillId="0" borderId="0" xfId="439" applyNumberFormat="1" applyFont="1" applyFill="1" applyAlignment="1" applyProtection="1">
      <alignment vertical="center" wrapText="1"/>
    </xf>
    <xf numFmtId="37" fontId="39" fillId="29" borderId="0" xfId="439" applyNumberFormat="1" applyFont="1" applyFill="1" applyAlignment="1" applyProtection="1">
      <alignment vertical="center"/>
      <protection locked="0"/>
    </xf>
    <xf numFmtId="3" fontId="0" fillId="0" borderId="0" xfId="0" applyNumberFormat="1" applyFont="1" applyFill="1" applyAlignment="1" applyProtection="1"/>
    <xf numFmtId="0" fontId="0" fillId="0" borderId="0" xfId="0" applyFont="1" applyFill="1" applyAlignment="1" applyProtection="1"/>
    <xf numFmtId="0" fontId="0" fillId="0" borderId="0" xfId="0" applyFont="1" applyAlignment="1"/>
    <xf numFmtId="0" fontId="0" fillId="0" borderId="45" xfId="0" applyNumberFormat="1" applyFont="1" applyFill="1" applyBorder="1" applyAlignment="1" applyProtection="1">
      <alignment vertical="center"/>
    </xf>
    <xf numFmtId="0" fontId="0" fillId="0" borderId="0" xfId="0" applyFont="1" applyAlignment="1" applyProtection="1"/>
    <xf numFmtId="0" fontId="0" fillId="0" borderId="0" xfId="0" applyNumberFormat="1" applyFont="1" applyFill="1" applyAlignment="1" applyProtection="1">
      <alignment vertical="center"/>
    </xf>
    <xf numFmtId="164" fontId="34" fillId="0" borderId="0" xfId="439" applyNumberFormat="1" applyFont="1" applyFill="1" applyAlignment="1">
      <alignment wrapText="1"/>
    </xf>
    <xf numFmtId="1" fontId="192" fillId="20" borderId="0" xfId="439" applyNumberFormat="1" applyFont="1" applyFill="1" applyAlignment="1" applyProtection="1">
      <alignment horizontal="center" vertical="center"/>
    </xf>
    <xf numFmtId="1" fontId="50" fillId="20" borderId="0" xfId="439" applyNumberFormat="1" applyFont="1" applyFill="1" applyAlignment="1" applyProtection="1">
      <alignment horizontal="center" vertical="center"/>
    </xf>
    <xf numFmtId="1" fontId="191" fillId="20" borderId="0" xfId="439" applyNumberFormat="1" applyFont="1" applyFill="1" applyAlignment="1">
      <alignment horizontal="center"/>
    </xf>
    <xf numFmtId="1" fontId="193" fillId="20" borderId="0" xfId="439" applyNumberFormat="1" applyFont="1" applyFill="1" applyAlignment="1">
      <alignment horizontal="center"/>
    </xf>
    <xf numFmtId="0" fontId="128" fillId="26" borderId="0" xfId="30099" applyFont="1" applyFill="1" applyAlignment="1">
      <alignment horizontal="left" vertical="center" wrapText="1"/>
    </xf>
    <xf numFmtId="0" fontId="34" fillId="0" borderId="0" xfId="31254"/>
    <xf numFmtId="1" fontId="34" fillId="0" borderId="0" xfId="31254" applyNumberFormat="1" applyFill="1"/>
    <xf numFmtId="0" fontId="34" fillId="0" borderId="0" xfId="31254" applyFill="1"/>
    <xf numFmtId="4" fontId="34" fillId="0" borderId="0" xfId="31254" applyNumberFormat="1" applyFill="1"/>
    <xf numFmtId="0" fontId="34" fillId="0" borderId="0" xfId="31254" applyNumberFormat="1" applyFill="1"/>
    <xf numFmtId="0" fontId="111" fillId="0" borderId="0" xfId="31254" applyFont="1" applyFill="1"/>
    <xf numFmtId="0" fontId="39" fillId="0" borderId="0" xfId="683" applyFont="1" applyFill="1" applyAlignment="1" applyProtection="1">
      <alignment vertical="center" wrapText="1"/>
      <protection locked="0"/>
    </xf>
    <xf numFmtId="0" fontId="85" fillId="0" borderId="0" xfId="841" applyFont="1" applyFill="1" applyAlignment="1">
      <alignment horizontal="left" vertical="center" wrapText="1"/>
    </xf>
    <xf numFmtId="3" fontId="194" fillId="0" borderId="0" xfId="1540" applyFont="1" applyFill="1" applyAlignment="1" applyProtection="1">
      <alignment vertical="center" wrapText="1"/>
    </xf>
    <xf numFmtId="0" fontId="39" fillId="0" borderId="0" xfId="683" applyFont="1" applyFill="1" applyAlignment="1" applyProtection="1">
      <alignment vertical="center" wrapText="1"/>
    </xf>
    <xf numFmtId="1" fontId="34" fillId="0" borderId="0" xfId="31254" applyNumberFormat="1" applyFill="1" applyAlignment="1">
      <alignment wrapText="1"/>
    </xf>
    <xf numFmtId="166" fontId="60" fillId="0" borderId="0" xfId="31254" applyNumberFormat="1" applyFont="1" applyFill="1" applyAlignment="1" applyProtection="1">
      <alignment horizontal="center" vertical="center"/>
    </xf>
    <xf numFmtId="166" fontId="39" fillId="0" borderId="0" xfId="440" applyNumberFormat="1" applyFont="1" applyFill="1" applyAlignment="1" applyProtection="1">
      <alignment horizontal="center" vertical="center"/>
    </xf>
    <xf numFmtId="166" fontId="60" fillId="0" borderId="0" xfId="440" applyNumberFormat="1" applyFont="1" applyFill="1" applyAlignment="1" applyProtection="1">
      <alignment horizontal="center" vertical="center"/>
    </xf>
    <xf numFmtId="166" fontId="193" fillId="0" borderId="0" xfId="31254" applyNumberFormat="1" applyFont="1" applyFill="1" applyAlignment="1">
      <alignment horizontal="center"/>
    </xf>
    <xf numFmtId="166" fontId="191" fillId="0" borderId="0" xfId="31254" applyNumberFormat="1" applyFont="1" applyFill="1" applyAlignment="1">
      <alignment horizontal="center"/>
    </xf>
    <xf numFmtId="0" fontId="34" fillId="0" borderId="0" xfId="31254" applyFill="1" applyAlignment="1">
      <alignment wrapText="1"/>
    </xf>
    <xf numFmtId="0" fontId="195" fillId="0" borderId="0" xfId="31254" applyNumberFormat="1" applyFont="1" applyFill="1" applyAlignment="1" applyProtection="1">
      <alignment horizontal="left" vertical="center" wrapText="1"/>
    </xf>
    <xf numFmtId="38" fontId="60" fillId="0" borderId="0" xfId="31254" applyNumberFormat="1" applyFont="1" applyFill="1" applyAlignment="1" applyProtection="1">
      <alignment horizontal="center" vertical="center"/>
    </xf>
    <xf numFmtId="38" fontId="39" fillId="0" borderId="0" xfId="440" applyNumberFormat="1" applyFont="1" applyFill="1" applyAlignment="1" applyProtection="1">
      <alignment horizontal="center" vertical="center"/>
    </xf>
    <xf numFmtId="38" fontId="60" fillId="0" borderId="0" xfId="440" applyNumberFormat="1" applyFont="1" applyFill="1" applyAlignment="1" applyProtection="1">
      <alignment horizontal="center" vertical="center"/>
    </xf>
    <xf numFmtId="38" fontId="193" fillId="0" borderId="0" xfId="31254" applyNumberFormat="1" applyFont="1" applyFill="1" applyAlignment="1">
      <alignment horizontal="center"/>
    </xf>
    <xf numFmtId="38" fontId="191" fillId="0" borderId="0" xfId="31254" applyNumberFormat="1" applyFont="1" applyFill="1" applyAlignment="1">
      <alignment horizontal="center"/>
    </xf>
    <xf numFmtId="0" fontId="34" fillId="73" borderId="0" xfId="31254" applyFill="1"/>
    <xf numFmtId="0" fontId="39" fillId="73" borderId="0" xfId="703" applyNumberFormat="1" applyFont="1" applyFill="1" applyBorder="1" applyAlignment="1" applyProtection="1">
      <alignment horizontal="center" vertical="center"/>
    </xf>
    <xf numFmtId="0" fontId="33" fillId="73" borderId="0" xfId="703" applyFont="1" applyFill="1" applyBorder="1" applyAlignment="1" applyProtection="1">
      <alignment vertical="center" wrapText="1"/>
    </xf>
    <xf numFmtId="166" fontId="60" fillId="73" borderId="0" xfId="31254" applyNumberFormat="1" applyFont="1" applyFill="1" applyAlignment="1" applyProtection="1">
      <alignment horizontal="center" vertical="center"/>
    </xf>
    <xf numFmtId="166" fontId="39" fillId="73" borderId="0" xfId="440" applyNumberFormat="1" applyFont="1" applyFill="1" applyAlignment="1" applyProtection="1">
      <alignment horizontal="center" vertical="center"/>
    </xf>
    <xf numFmtId="166" fontId="60" fillId="73" borderId="0" xfId="440" applyNumberFormat="1" applyFont="1" applyFill="1" applyAlignment="1" applyProtection="1">
      <alignment horizontal="center" vertical="center"/>
    </xf>
    <xf numFmtId="166" fontId="193" fillId="73" borderId="0" xfId="31254" applyNumberFormat="1" applyFont="1" applyFill="1" applyAlignment="1">
      <alignment horizontal="center"/>
    </xf>
    <xf numFmtId="166" fontId="191" fillId="73" borderId="0" xfId="31254" applyNumberFormat="1" applyFont="1" applyFill="1" applyAlignment="1">
      <alignment horizontal="center"/>
    </xf>
    <xf numFmtId="1" fontId="34" fillId="73" borderId="0" xfId="31254" applyNumberFormat="1" applyFill="1"/>
    <xf numFmtId="166" fontId="60" fillId="73" borderId="0" xfId="31254" applyNumberFormat="1" applyFont="1" applyFill="1" applyAlignment="1" applyProtection="1">
      <alignment horizontal="left" vertical="center" wrapText="1"/>
    </xf>
    <xf numFmtId="166" fontId="34" fillId="73" borderId="0" xfId="31254" applyNumberFormat="1" applyFill="1"/>
    <xf numFmtId="0" fontId="60" fillId="73" borderId="0" xfId="31254" applyNumberFormat="1" applyFont="1" applyFill="1" applyAlignment="1" applyProtection="1">
      <alignment horizontal="left" vertical="center" wrapText="1"/>
    </xf>
    <xf numFmtId="38" fontId="60" fillId="73" borderId="0" xfId="31254" applyNumberFormat="1" applyFont="1" applyFill="1" applyAlignment="1" applyProtection="1">
      <alignment horizontal="center" vertical="center"/>
    </xf>
    <xf numFmtId="38" fontId="39" fillId="73" borderId="0" xfId="440" applyNumberFormat="1" applyFont="1" applyFill="1" applyAlignment="1" applyProtection="1">
      <alignment horizontal="center" vertical="center"/>
    </xf>
    <xf numFmtId="38" fontId="60" fillId="73" borderId="0" xfId="440" applyNumberFormat="1" applyFont="1" applyFill="1" applyAlignment="1" applyProtection="1">
      <alignment horizontal="center" vertical="center"/>
    </xf>
    <xf numFmtId="38" fontId="193" fillId="73" borderId="0" xfId="31254" applyNumberFormat="1" applyFont="1" applyFill="1" applyAlignment="1">
      <alignment horizontal="center"/>
    </xf>
    <xf numFmtId="38" fontId="191" fillId="73" borderId="0" xfId="31254" applyNumberFormat="1" applyFont="1" applyFill="1" applyAlignment="1">
      <alignment horizontal="center"/>
    </xf>
    <xf numFmtId="0" fontId="33" fillId="0" borderId="23" xfId="701" applyFont="1" applyFill="1" applyBorder="1" applyAlignment="1" applyProtection="1">
      <alignment vertical="center" wrapText="1"/>
    </xf>
    <xf numFmtId="0" fontId="44" fillId="0" borderId="0" xfId="31254" applyNumberFormat="1" applyFont="1" applyFill="1" applyAlignment="1">
      <alignment horizontal="right"/>
    </xf>
    <xf numFmtId="0" fontId="39" fillId="0" borderId="0" xfId="678" applyFont="1" applyFill="1"/>
    <xf numFmtId="0" fontId="33" fillId="0" borderId="0" xfId="678" applyFill="1"/>
    <xf numFmtId="185" fontId="193" fillId="0" borderId="0" xfId="31254" applyNumberFormat="1" applyFont="1" applyFill="1" applyAlignment="1">
      <alignment horizontal="center"/>
    </xf>
    <xf numFmtId="0" fontId="193" fillId="0" borderId="0" xfId="31254" applyNumberFormat="1" applyFont="1" applyFill="1" applyAlignment="1">
      <alignment horizontal="center"/>
    </xf>
    <xf numFmtId="1" fontId="193" fillId="0" borderId="0" xfId="31254" applyNumberFormat="1" applyFont="1" applyFill="1" applyAlignment="1">
      <alignment horizontal="center"/>
    </xf>
    <xf numFmtId="0" fontId="191" fillId="0" borderId="0" xfId="31254" applyNumberFormat="1" applyFont="1" applyFill="1" applyAlignment="1">
      <alignment horizontal="center"/>
    </xf>
    <xf numFmtId="1" fontId="50" fillId="0" borderId="0" xfId="31254" applyNumberFormat="1" applyFont="1" applyFill="1" applyAlignment="1" applyProtection="1">
      <alignment horizontal="center" vertical="center"/>
    </xf>
    <xf numFmtId="1" fontId="192" fillId="0" borderId="0" xfId="31254" applyNumberFormat="1" applyFont="1" applyFill="1" applyAlignment="1" applyProtection="1">
      <alignment horizontal="center" vertical="center"/>
    </xf>
    <xf numFmtId="1" fontId="191" fillId="0" borderId="0" xfId="31254" applyNumberFormat="1" applyFont="1" applyFill="1" applyAlignment="1">
      <alignment horizontal="center"/>
    </xf>
    <xf numFmtId="0" fontId="60" fillId="0" borderId="0" xfId="31254" applyNumberFormat="1" applyFont="1" applyFill="1" applyAlignment="1" applyProtection="1">
      <alignment horizontal="left" vertical="center" wrapText="1"/>
    </xf>
    <xf numFmtId="185" fontId="60" fillId="0" borderId="0" xfId="31254" applyNumberFormat="1" applyFont="1" applyFill="1" applyAlignment="1" applyProtection="1">
      <alignment horizontal="center" vertical="center"/>
    </xf>
    <xf numFmtId="185" fontId="39" fillId="0" borderId="0" xfId="440" applyNumberFormat="1" applyFont="1" applyFill="1" applyAlignment="1" applyProtection="1">
      <alignment horizontal="center" vertical="center"/>
    </xf>
    <xf numFmtId="185" fontId="60" fillId="0" borderId="0" xfId="440" applyNumberFormat="1" applyFont="1" applyFill="1" applyAlignment="1" applyProtection="1">
      <alignment horizontal="center" vertical="center"/>
    </xf>
    <xf numFmtId="185" fontId="191" fillId="0" borderId="0" xfId="31254" applyNumberFormat="1" applyFont="1" applyFill="1" applyAlignment="1">
      <alignment horizontal="center"/>
    </xf>
    <xf numFmtId="0" fontId="39" fillId="0" borderId="0" xfId="703" applyNumberFormat="1" applyFont="1" applyFill="1" applyBorder="1" applyAlignment="1" applyProtection="1">
      <alignment horizontal="center" vertical="center"/>
    </xf>
    <xf numFmtId="0" fontId="33" fillId="0" borderId="0" xfId="703" applyFont="1" applyFill="1" applyBorder="1" applyAlignment="1" applyProtection="1">
      <alignment vertical="center" wrapText="1"/>
    </xf>
    <xf numFmtId="0" fontId="33" fillId="34" borderId="0" xfId="622" applyFill="1" applyAlignment="1">
      <alignment wrapText="1"/>
    </xf>
    <xf numFmtId="0" fontId="34" fillId="34" borderId="0" xfId="31254" applyNumberFormat="1" applyFill="1"/>
    <xf numFmtId="0" fontId="33" fillId="34" borderId="0" xfId="622" applyFont="1" applyFill="1" applyAlignment="1">
      <alignment wrapText="1"/>
    </xf>
    <xf numFmtId="40" fontId="34" fillId="0" borderId="0" xfId="31254" applyNumberFormat="1"/>
    <xf numFmtId="0" fontId="34" fillId="0" borderId="0" xfId="31254" applyAlignment="1">
      <alignment wrapText="1"/>
    </xf>
    <xf numFmtId="38" fontId="193" fillId="34" borderId="0" xfId="31254" applyNumberFormat="1" applyFont="1" applyFill="1" applyAlignment="1">
      <alignment horizontal="center"/>
    </xf>
    <xf numFmtId="38" fontId="60" fillId="34" borderId="0" xfId="440" applyNumberFormat="1" applyFont="1" applyFill="1" applyAlignment="1" applyProtection="1">
      <alignment horizontal="center" vertical="center"/>
    </xf>
    <xf numFmtId="38" fontId="60" fillId="34" borderId="0" xfId="31254" applyNumberFormat="1" applyFont="1" applyFill="1" applyAlignment="1" applyProtection="1">
      <alignment horizontal="center" vertical="center"/>
    </xf>
    <xf numFmtId="38" fontId="39" fillId="34" borderId="0" xfId="440" applyNumberFormat="1" applyFont="1" applyFill="1" applyAlignment="1" applyProtection="1">
      <alignment horizontal="center" vertical="center"/>
    </xf>
    <xf numFmtId="38" fontId="191" fillId="34" borderId="0" xfId="31254" applyNumberFormat="1" applyFont="1" applyFill="1" applyAlignment="1">
      <alignment horizontal="center"/>
    </xf>
    <xf numFmtId="0" fontId="34" fillId="0" borderId="0" xfId="31254" applyFill="1" applyAlignment="1">
      <alignment horizontal="center"/>
    </xf>
    <xf numFmtId="0" fontId="34" fillId="0" borderId="0" xfId="31254" applyFill="1" applyBorder="1"/>
    <xf numFmtId="0" fontId="34" fillId="0" borderId="0" xfId="31254" applyAlignment="1">
      <alignment horizontal="center"/>
    </xf>
    <xf numFmtId="0" fontId="34" fillId="0" borderId="0" xfId="31254" applyNumberFormat="1" applyFill="1" applyBorder="1"/>
    <xf numFmtId="0" fontId="34" fillId="34" borderId="0" xfId="31254" applyFill="1"/>
    <xf numFmtId="1" fontId="34" fillId="34" borderId="0" xfId="31254" applyNumberFormat="1" applyFill="1"/>
    <xf numFmtId="0" fontId="60" fillId="34" borderId="0" xfId="31254" applyNumberFormat="1" applyFont="1" applyFill="1" applyAlignment="1" applyProtection="1">
      <alignment horizontal="left" vertical="center" wrapText="1"/>
    </xf>
    <xf numFmtId="0" fontId="33" fillId="0" borderId="0" xfId="701" applyFont="1" applyFill="1" applyBorder="1" applyAlignment="1" applyProtection="1">
      <alignment vertical="center" wrapText="1"/>
    </xf>
    <xf numFmtId="38" fontId="34" fillId="0" borderId="0" xfId="31254" applyNumberFormat="1"/>
    <xf numFmtId="38" fontId="63" fillId="0" borderId="0" xfId="31254" applyNumberFormat="1" applyFont="1" applyAlignment="1">
      <alignment horizontal="right" vertical="center" wrapText="1"/>
    </xf>
    <xf numFmtId="10" fontId="34" fillId="0" borderId="0" xfId="31254" applyNumberFormat="1"/>
    <xf numFmtId="2" fontId="63" fillId="0" borderId="0" xfId="31254" applyNumberFormat="1" applyFont="1" applyAlignment="1">
      <alignment horizontal="center" vertical="center"/>
    </xf>
    <xf numFmtId="164" fontId="63" fillId="0" borderId="0" xfId="440" applyNumberFormat="1" applyFont="1" applyFill="1" applyAlignment="1" applyProtection="1">
      <alignment horizontal="center" vertical="center"/>
    </xf>
    <xf numFmtId="40" fontId="34" fillId="82" borderId="0" xfId="31254" applyNumberFormat="1" applyFill="1"/>
    <xf numFmtId="0" fontId="34" fillId="82" borderId="0" xfId="31254" applyFill="1"/>
    <xf numFmtId="49" fontId="11" fillId="0" borderId="0" xfId="1050" applyNumberFormat="1" applyAlignment="1">
      <alignment horizontal="left"/>
    </xf>
    <xf numFmtId="166" fontId="34" fillId="36" borderId="0" xfId="31254" applyNumberFormat="1" applyFill="1"/>
    <xf numFmtId="0" fontId="34" fillId="36" borderId="0" xfId="31254" applyFill="1" applyAlignment="1">
      <alignment horizontal="center"/>
    </xf>
    <xf numFmtId="1" fontId="34" fillId="36" borderId="0" xfId="31254" applyNumberFormat="1" applyFill="1"/>
    <xf numFmtId="166" fontId="60" fillId="36" borderId="0" xfId="31254" applyNumberFormat="1" applyFont="1" applyFill="1" applyAlignment="1" applyProtection="1">
      <alignment horizontal="left" vertical="center" wrapText="1"/>
    </xf>
    <xf numFmtId="166" fontId="60" fillId="36" borderId="0" xfId="31254" applyNumberFormat="1" applyFont="1" applyFill="1" applyAlignment="1" applyProtection="1">
      <alignment horizontal="center" vertical="center"/>
    </xf>
    <xf numFmtId="166" fontId="39" fillId="36" borderId="0" xfId="440" applyNumberFormat="1" applyFont="1" applyFill="1" applyAlignment="1" applyProtection="1">
      <alignment horizontal="center" vertical="center"/>
    </xf>
    <xf numFmtId="166" fontId="60" fillId="36" borderId="0" xfId="440" applyNumberFormat="1" applyFont="1" applyFill="1" applyAlignment="1" applyProtection="1">
      <alignment horizontal="center" vertical="center"/>
    </xf>
    <xf numFmtId="166" fontId="193" fillId="36" borderId="0" xfId="31254" applyNumberFormat="1" applyFont="1" applyFill="1" applyAlignment="1">
      <alignment horizontal="center"/>
    </xf>
    <xf numFmtId="166" fontId="191" fillId="36" borderId="0" xfId="31254" applyNumberFormat="1" applyFont="1" applyFill="1" applyAlignment="1">
      <alignment horizontal="center"/>
    </xf>
    <xf numFmtId="0" fontId="34" fillId="36" borderId="0" xfId="31254" applyFill="1"/>
    <xf numFmtId="40" fontId="34" fillId="36" borderId="0" xfId="31254" applyNumberFormat="1" applyFill="1"/>
    <xf numFmtId="0" fontId="132" fillId="78" borderId="15" xfId="30099" applyFont="1" applyFill="1" applyBorder="1" applyAlignment="1">
      <alignment vertical="top"/>
    </xf>
    <xf numFmtId="0" fontId="132" fillId="78" borderId="0" xfId="30099" applyFont="1" applyFill="1" applyAlignment="1">
      <alignment vertical="top"/>
    </xf>
    <xf numFmtId="0" fontId="133" fillId="78" borderId="0" xfId="30099" applyFont="1" applyFill="1" applyAlignment="1">
      <alignment vertical="top"/>
    </xf>
    <xf numFmtId="0" fontId="133" fillId="78" borderId="60" xfId="30099" applyFont="1" applyFill="1" applyBorder="1" applyAlignment="1">
      <alignment vertical="top"/>
    </xf>
    <xf numFmtId="0" fontId="201" fillId="77" borderId="57" xfId="0" applyFont="1" applyFill="1" applyBorder="1" applyAlignment="1">
      <alignment horizontal="center" vertical="center" wrapText="1"/>
    </xf>
    <xf numFmtId="0" fontId="202" fillId="73" borderId="0" xfId="0" applyFont="1" applyFill="1" applyAlignment="1">
      <alignment horizontal="justify" vertical="center"/>
    </xf>
    <xf numFmtId="0" fontId="202" fillId="73" borderId="0" xfId="0" applyFont="1" applyFill="1" applyAlignment="1">
      <alignment vertical="center"/>
    </xf>
    <xf numFmtId="0" fontId="202" fillId="73" borderId="0" xfId="0" applyFont="1" applyFill="1" applyAlignment="1">
      <alignment vertical="center" wrapText="1"/>
    </xf>
    <xf numFmtId="0" fontId="206" fillId="73" borderId="0" xfId="611" applyFont="1" applyFill="1" applyAlignment="1">
      <alignment vertical="center"/>
    </xf>
    <xf numFmtId="0" fontId="207" fillId="73" borderId="0" xfId="0" applyFont="1" applyFill="1" applyAlignment="1">
      <alignment vertical="center"/>
    </xf>
    <xf numFmtId="0" fontId="208" fillId="73" borderId="0" xfId="611" applyFont="1" applyFill="1" applyAlignment="1" applyProtection="1">
      <alignment vertical="center"/>
      <protection locked="0"/>
    </xf>
    <xf numFmtId="0" fontId="207" fillId="73" borderId="0" xfId="0" applyFont="1" applyFill="1"/>
    <xf numFmtId="0" fontId="208" fillId="73" borderId="0" xfId="611" applyFont="1" applyFill="1" applyProtection="1">
      <protection locked="0"/>
    </xf>
    <xf numFmtId="0" fontId="120" fillId="73" borderId="0" xfId="30098" applyFont="1" applyFill="1" applyAlignment="1">
      <alignment horizontal="left" vertical="center" wrapText="1" indent="1"/>
    </xf>
    <xf numFmtId="0" fontId="120" fillId="73" borderId="0" xfId="30098" quotePrefix="1" applyFont="1" applyFill="1" applyAlignment="1">
      <alignment horizontal="left" vertical="center" wrapText="1" indent="1"/>
    </xf>
    <xf numFmtId="0" fontId="211" fillId="73" borderId="0" xfId="30098" applyFont="1" applyFill="1" applyAlignment="1">
      <alignment vertical="center" wrapText="1"/>
    </xf>
    <xf numFmtId="0" fontId="202" fillId="73" borderId="0" xfId="30098" applyFont="1" applyFill="1" applyAlignment="1">
      <alignment vertical="center" wrapText="1"/>
    </xf>
    <xf numFmtId="0" fontId="208" fillId="73" borderId="0" xfId="611" applyFont="1" applyFill="1" applyAlignment="1">
      <alignment vertical="center"/>
    </xf>
    <xf numFmtId="14" fontId="0" fillId="0" borderId="0" xfId="0" applyNumberFormat="1" applyFont="1" applyProtection="1"/>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58" fillId="34" borderId="29" xfId="439" applyNumberFormat="1" applyFont="1" applyFill="1" applyBorder="1" applyAlignment="1" applyProtection="1">
      <alignment horizontal="center" vertical="center" wrapText="1"/>
    </xf>
    <xf numFmtId="0" fontId="188" fillId="0" borderId="0" xfId="0" applyFont="1"/>
    <xf numFmtId="0" fontId="0" fillId="0" borderId="0" xfId="0" applyAlignment="1">
      <alignment vertical="center"/>
    </xf>
    <xf numFmtId="0" fontId="35" fillId="0" borderId="0" xfId="611"/>
    <xf numFmtId="0" fontId="145" fillId="26" borderId="0" xfId="30099" applyFont="1" applyFill="1" applyAlignment="1">
      <alignment horizontal="right" vertical="center" wrapText="1"/>
    </xf>
    <xf numFmtId="0" fontId="128" fillId="26" borderId="0" xfId="30099" applyFont="1" applyFill="1" applyAlignment="1">
      <alignment horizontal="left" vertical="top" wrapText="1"/>
    </xf>
    <xf numFmtId="0" fontId="150" fillId="26" borderId="0" xfId="30099" applyFont="1" applyFill="1" applyAlignment="1">
      <alignment vertical="center" wrapText="1"/>
    </xf>
    <xf numFmtId="0" fontId="154"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9" fillId="74" borderId="84"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28" fillId="0" borderId="66" xfId="30099" applyFont="1" applyBorder="1" applyAlignment="1" applyProtection="1">
      <alignment horizontal="left" vertical="center"/>
      <protection locked="0"/>
    </xf>
    <xf numFmtId="0" fontId="128" fillId="0" borderId="67" xfId="30099" applyFont="1" applyBorder="1" applyAlignment="1" applyProtection="1">
      <alignment horizontal="left" vertical="center"/>
      <protection locked="0"/>
    </xf>
    <xf numFmtId="0" fontId="128" fillId="0" borderId="68" xfId="30099" applyFont="1" applyBorder="1" applyAlignment="1" applyProtection="1">
      <alignment horizontal="left" vertical="center"/>
      <protection locked="0"/>
    </xf>
    <xf numFmtId="0" fontId="148" fillId="26" borderId="0" xfId="30099" applyFont="1" applyFill="1" applyAlignment="1">
      <alignment horizontal="right" vertical="center" wrapText="1"/>
    </xf>
    <xf numFmtId="0" fontId="140" fillId="26" borderId="0" xfId="30099" applyFont="1" applyFill="1" applyAlignment="1">
      <alignment horizontal="left" vertical="center" wrapText="1"/>
    </xf>
    <xf numFmtId="0" fontId="128" fillId="26" borderId="0" xfId="30099" applyFont="1" applyFill="1" applyAlignment="1">
      <alignment horizontal="left" vertical="center" wrapText="1"/>
    </xf>
    <xf numFmtId="0" fontId="134" fillId="26" borderId="0" xfId="30099" applyFont="1" applyFill="1" applyAlignment="1">
      <alignment horizontal="left" wrapText="1"/>
    </xf>
    <xf numFmtId="0" fontId="134" fillId="26" borderId="60" xfId="30099" applyFont="1" applyFill="1" applyBorder="1" applyAlignment="1">
      <alignment horizontal="left" wrapText="1"/>
    </xf>
    <xf numFmtId="0" fontId="134" fillId="26" borderId="0" xfId="30099" applyFont="1" applyFill="1" applyBorder="1" applyAlignment="1">
      <alignment horizontal="left" wrapText="1"/>
    </xf>
    <xf numFmtId="0" fontId="128" fillId="26" borderId="60" xfId="30099" applyFont="1" applyFill="1" applyBorder="1" applyAlignment="1">
      <alignment horizontal="left" vertical="center" wrapText="1"/>
    </xf>
    <xf numFmtId="0" fontId="128" fillId="26" borderId="0" xfId="30099" applyFont="1" applyFill="1" applyAlignment="1">
      <alignment horizontal="left" vertical="top" wrapText="1"/>
    </xf>
    <xf numFmtId="0" fontId="128" fillId="26" borderId="71" xfId="30099" applyFont="1" applyFill="1" applyBorder="1" applyAlignment="1">
      <alignment horizontal="left" vertical="center" wrapText="1"/>
    </xf>
    <xf numFmtId="0" fontId="144" fillId="26" borderId="41" xfId="30099" applyFont="1" applyFill="1" applyBorder="1" applyAlignment="1">
      <alignment horizontal="center" vertical="center" wrapText="1"/>
    </xf>
    <xf numFmtId="164" fontId="135" fillId="79" borderId="13" xfId="30100" applyNumberFormat="1" applyFont="1" applyFill="1" applyBorder="1" applyAlignment="1">
      <alignment horizontal="center" vertical="center" wrapText="1"/>
    </xf>
    <xf numFmtId="164" fontId="135" fillId="79" borderId="16" xfId="30100" applyNumberFormat="1" applyFont="1" applyFill="1" applyBorder="1" applyAlignment="1">
      <alignment horizontal="center" vertical="center" wrapText="1"/>
    </xf>
    <xf numFmtId="164" fontId="135" fillId="79" borderId="11" xfId="30100" applyNumberFormat="1" applyFont="1" applyFill="1" applyBorder="1" applyAlignment="1">
      <alignment horizontal="center" vertical="center" wrapText="1"/>
    </xf>
    <xf numFmtId="0" fontId="133" fillId="78" borderId="40" xfId="30099" applyFont="1" applyFill="1" applyBorder="1" applyAlignment="1">
      <alignment horizontal="left" wrapText="1"/>
    </xf>
    <xf numFmtId="0" fontId="133" fillId="78" borderId="41" xfId="30099" applyFont="1" applyFill="1" applyBorder="1" applyAlignment="1">
      <alignment horizontal="left" wrapText="1"/>
    </xf>
    <xf numFmtId="0" fontId="133" fillId="78" borderId="42" xfId="30099" applyFont="1" applyFill="1" applyBorder="1" applyAlignment="1">
      <alignment horizontal="left" wrapText="1"/>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129" fillId="78" borderId="13" xfId="30099" applyFont="1" applyFill="1" applyBorder="1" applyAlignment="1">
      <alignment horizontal="center" vertical="center" wrapText="1"/>
    </xf>
    <xf numFmtId="0" fontId="129" fillId="78" borderId="16" xfId="30099" applyFont="1" applyFill="1" applyBorder="1" applyAlignment="1">
      <alignment horizontal="center" vertical="center" wrapText="1"/>
    </xf>
    <xf numFmtId="0" fontId="129" fillId="78" borderId="11" xfId="30099" applyFont="1" applyFill="1" applyBorder="1" applyAlignment="1">
      <alignment horizontal="center" vertical="center" wrapText="1"/>
    </xf>
    <xf numFmtId="0" fontId="129" fillId="78" borderId="13" xfId="30099" applyFont="1" applyFill="1" applyBorder="1" applyAlignment="1">
      <alignment horizontal="center" vertical="top" wrapText="1"/>
    </xf>
    <xf numFmtId="0" fontId="129" fillId="78" borderId="16" xfId="30099" applyFont="1" applyFill="1" applyBorder="1" applyAlignment="1">
      <alignment horizontal="center" vertical="top" wrapText="1"/>
    </xf>
    <xf numFmtId="0" fontId="129" fillId="78" borderId="11" xfId="30099" applyFont="1" applyFill="1" applyBorder="1" applyAlignment="1">
      <alignment horizontal="center" vertical="top" wrapText="1"/>
    </xf>
    <xf numFmtId="164" fontId="131" fillId="79" borderId="13" xfId="30100" applyNumberFormat="1" applyFont="1" applyFill="1" applyBorder="1" applyAlignment="1">
      <alignment horizontal="center" vertical="center"/>
    </xf>
    <xf numFmtId="164" fontId="131" fillId="79" borderId="16" xfId="30100" applyNumberFormat="1" applyFont="1" applyFill="1" applyBorder="1" applyAlignment="1">
      <alignment horizontal="center" vertical="center"/>
    </xf>
    <xf numFmtId="164" fontId="131" fillId="79" borderId="11" xfId="30100" applyNumberFormat="1" applyFont="1" applyFill="1" applyBorder="1" applyAlignment="1">
      <alignment horizontal="center" vertical="center"/>
    </xf>
    <xf numFmtId="0" fontId="145" fillId="0" borderId="66" xfId="30099" applyFont="1" applyBorder="1" applyAlignment="1" applyProtection="1">
      <alignment horizontal="left" vertical="center"/>
      <protection locked="0"/>
    </xf>
    <xf numFmtId="0" fontId="145" fillId="0" borderId="67" xfId="30099" applyFont="1" applyBorder="1" applyAlignment="1" applyProtection="1">
      <alignment horizontal="left" vertical="center"/>
      <protection locked="0"/>
    </xf>
    <xf numFmtId="0" fontId="145" fillId="0" borderId="68" xfId="30099" applyFont="1" applyBorder="1" applyAlignment="1" applyProtection="1">
      <alignment horizontal="left" vertical="center"/>
      <protection locked="0"/>
    </xf>
    <xf numFmtId="0" fontId="142" fillId="26" borderId="0" xfId="30099" applyFont="1" applyFill="1" applyAlignment="1">
      <alignment horizontal="left" vertical="center" wrapText="1"/>
    </xf>
    <xf numFmtId="0" fontId="118" fillId="0" borderId="66" xfId="29597" applyFill="1" applyBorder="1" applyAlignment="1" applyProtection="1">
      <alignment horizontal="left" vertical="center"/>
      <protection locked="0"/>
    </xf>
    <xf numFmtId="0" fontId="128" fillId="0" borderId="13" xfId="30099" applyFont="1" applyBorder="1" applyAlignment="1" applyProtection="1">
      <alignment horizontal="left" vertical="center"/>
      <protection locked="0"/>
    </xf>
    <xf numFmtId="0" fontId="128" fillId="0" borderId="11" xfId="30099" applyFont="1" applyBorder="1" applyAlignment="1" applyProtection="1">
      <alignment horizontal="left" vertical="center"/>
      <protection locked="0"/>
    </xf>
    <xf numFmtId="0" fontId="144" fillId="26" borderId="0" xfId="30099" applyFont="1" applyFill="1" applyAlignment="1">
      <alignment horizontal="center" vertical="center" wrapText="1"/>
    </xf>
    <xf numFmtId="0" fontId="140" fillId="26" borderId="15" xfId="30099" applyFont="1" applyFill="1" applyBorder="1" applyAlignment="1">
      <alignment horizontal="center" vertical="top"/>
    </xf>
    <xf numFmtId="0" fontId="140" fillId="26" borderId="0" xfId="30099" applyFont="1" applyFill="1" applyAlignment="1">
      <alignment horizontal="center" vertical="top"/>
    </xf>
    <xf numFmtId="0" fontId="140" fillId="26" borderId="0" xfId="30099" applyFont="1" applyFill="1" applyAlignment="1">
      <alignment horizontal="center" vertical="top" wrapText="1"/>
    </xf>
    <xf numFmtId="0" fontId="128" fillId="26" borderId="0" xfId="30099" applyFont="1" applyFill="1" applyAlignment="1">
      <alignment horizontal="left" wrapText="1"/>
    </xf>
    <xf numFmtId="0" fontId="128" fillId="26" borderId="71" xfId="30099" applyFont="1" applyFill="1" applyBorder="1" applyAlignment="1">
      <alignment horizontal="left" wrapText="1"/>
    </xf>
    <xf numFmtId="0" fontId="189" fillId="0" borderId="0" xfId="0" applyFont="1" applyBorder="1" applyAlignment="1">
      <alignment horizontal="center" vertical="center"/>
    </xf>
    <xf numFmtId="0" fontId="59" fillId="34" borderId="88" xfId="0" applyFont="1" applyFill="1" applyBorder="1" applyAlignment="1">
      <alignment horizontal="center" vertical="center" wrapText="1"/>
    </xf>
    <xf numFmtId="0" fontId="59" fillId="34" borderId="89" xfId="0" applyFont="1" applyFill="1" applyBorder="1" applyAlignment="1">
      <alignment horizontal="center" vertical="center" wrapText="1"/>
    </xf>
    <xf numFmtId="0" fontId="0" fillId="78" borderId="76" xfId="0" applyFill="1" applyBorder="1" applyAlignment="1">
      <alignment horizontal="center"/>
    </xf>
    <xf numFmtId="0" fontId="0" fillId="78" borderId="100" xfId="0" applyFill="1" applyBorder="1" applyAlignment="1">
      <alignment horizontal="center"/>
    </xf>
    <xf numFmtId="0" fontId="49" fillId="0" borderId="10" xfId="0" applyFont="1" applyBorder="1" applyAlignment="1">
      <alignment horizontal="center" vertical="center" wrapText="1"/>
    </xf>
    <xf numFmtId="0" fontId="39" fillId="0" borderId="22" xfId="0" applyFont="1" applyBorder="1" applyAlignment="1">
      <alignment horizontal="center" vertical="center"/>
    </xf>
    <xf numFmtId="0" fontId="39" fillId="0" borderId="0" xfId="0" applyFont="1" applyAlignment="1">
      <alignment horizontal="center" vertical="center"/>
    </xf>
    <xf numFmtId="0" fontId="39" fillId="0" borderId="73" xfId="0" applyFont="1" applyBorder="1" applyAlignment="1">
      <alignment horizontal="center" vertical="center"/>
    </xf>
    <xf numFmtId="0" fontId="49" fillId="0" borderId="80" xfId="0" applyFont="1" applyBorder="1" applyAlignment="1">
      <alignment horizontal="center" vertical="center"/>
    </xf>
    <xf numFmtId="0" fontId="39" fillId="78" borderId="13" xfId="0" applyFont="1" applyFill="1" applyBorder="1" applyAlignment="1">
      <alignment horizont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9" fillId="0" borderId="37" xfId="0" applyFont="1" applyBorder="1" applyAlignment="1">
      <alignment horizontal="center" wrapText="1"/>
    </xf>
    <xf numFmtId="0" fontId="59" fillId="0" borderId="38" xfId="0" applyFont="1" applyBorder="1" applyAlignment="1">
      <alignment horizontal="center" wrapText="1"/>
    </xf>
    <xf numFmtId="0" fontId="59" fillId="0" borderId="39" xfId="0" applyFont="1" applyBorder="1" applyAlignment="1">
      <alignment horizontal="center" wrapText="1"/>
    </xf>
    <xf numFmtId="0" fontId="59" fillId="0" borderId="15" xfId="0" applyFont="1" applyBorder="1" applyAlignment="1">
      <alignment horizontal="center" wrapText="1"/>
    </xf>
    <xf numFmtId="0" fontId="59" fillId="0" borderId="0" xfId="0" applyFont="1" applyAlignment="1">
      <alignment horizontal="center" wrapText="1"/>
    </xf>
    <xf numFmtId="0" fontId="59" fillId="0" borderId="60" xfId="0" applyFont="1" applyBorder="1" applyAlignment="1">
      <alignment horizontal="center" wrapText="1"/>
    </xf>
    <xf numFmtId="0" fontId="37" fillId="78" borderId="70" xfId="0" applyFont="1" applyFill="1" applyBorder="1" applyAlignment="1">
      <alignment horizontal="left" vertical="center" wrapText="1"/>
    </xf>
    <xf numFmtId="0" fontId="37" fillId="78" borderId="92" xfId="0" applyFont="1" applyFill="1" applyBorder="1" applyAlignment="1">
      <alignment horizontal="left" vertical="center" wrapText="1"/>
    </xf>
    <xf numFmtId="0" fontId="37" fillId="78" borderId="72" xfId="0" applyFont="1" applyFill="1" applyBorder="1" applyAlignment="1">
      <alignment horizontal="left" vertical="center" wrapText="1"/>
    </xf>
    <xf numFmtId="0" fontId="59"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59" fillId="78" borderId="13" xfId="0" applyFont="1" applyFill="1" applyBorder="1" applyAlignment="1">
      <alignment horizontal="left" wrapText="1"/>
    </xf>
    <xf numFmtId="0" fontId="59" fillId="78" borderId="16" xfId="0" applyFont="1" applyFill="1" applyBorder="1" applyAlignment="1">
      <alignment horizontal="left" wrapText="1"/>
    </xf>
    <xf numFmtId="0" fontId="39" fillId="0" borderId="13" xfId="0" applyFont="1" applyBorder="1" applyAlignment="1">
      <alignment horizont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9" fillId="78" borderId="98" xfId="0" applyFont="1" applyFill="1" applyBorder="1" applyAlignment="1">
      <alignment horizontal="left" wrapText="1"/>
    </xf>
    <xf numFmtId="0" fontId="39" fillId="78" borderId="57" xfId="0" applyFont="1" applyFill="1" applyBorder="1" applyAlignment="1">
      <alignment horizontal="left" wrapText="1"/>
    </xf>
    <xf numFmtId="0" fontId="197" fillId="0" borderId="90" xfId="0" applyFont="1" applyBorder="1" applyAlignment="1">
      <alignment horizontal="center" wrapText="1"/>
    </xf>
    <xf numFmtId="0" fontId="197" fillId="0" borderId="87" xfId="0" applyFont="1" applyBorder="1" applyAlignment="1">
      <alignment horizontal="center" wrapText="1"/>
    </xf>
    <xf numFmtId="0" fontId="197" fillId="0" borderId="77" xfId="0" applyFont="1" applyBorder="1" applyAlignment="1">
      <alignment horizontal="center" wrapText="1"/>
    </xf>
    <xf numFmtId="0" fontId="160" fillId="73" borderId="92" xfId="0" applyFont="1" applyFill="1" applyBorder="1" applyAlignment="1">
      <alignment horizontal="center" vertical="center" wrapText="1"/>
    </xf>
    <xf numFmtId="0" fontId="160" fillId="73" borderId="72" xfId="0" applyFont="1" applyFill="1" applyBorder="1" applyAlignment="1">
      <alignment horizontal="center" vertical="center" wrapText="1"/>
    </xf>
    <xf numFmtId="0" fontId="39" fillId="78" borderId="92"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92" xfId="0" applyFill="1" applyBorder="1" applyAlignment="1">
      <alignment horizontal="center" vertical="center" wrapText="1"/>
    </xf>
    <xf numFmtId="0" fontId="0" fillId="0" borderId="72"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39" fillId="78" borderId="57" xfId="0" applyFont="1" applyFill="1" applyBorder="1" applyAlignment="1">
      <alignment horizontal="left" vertical="center" wrapText="1"/>
    </xf>
    <xf numFmtId="0" fontId="59" fillId="78" borderId="11" xfId="0" applyFont="1" applyFill="1" applyBorder="1" applyAlignment="1">
      <alignment horizontal="left" wrapText="1"/>
    </xf>
    <xf numFmtId="0" fontId="53" fillId="0" borderId="0" xfId="682" applyFont="1" applyAlignment="1">
      <alignment horizontal="left" wrapText="1"/>
    </xf>
    <xf numFmtId="0" fontId="166" fillId="27" borderId="0" xfId="682" applyFont="1" applyFill="1" applyAlignment="1">
      <alignment horizontal="left" vertical="center" wrapText="1"/>
    </xf>
    <xf numFmtId="0" fontId="163" fillId="0" borderId="0" xfId="682" applyFont="1" applyAlignment="1">
      <alignment horizontal="center" vertical="center"/>
    </xf>
    <xf numFmtId="0" fontId="39" fillId="27" borderId="0" xfId="682" applyFont="1" applyFill="1" applyAlignment="1">
      <alignment horizontal="left" wrapText="1"/>
    </xf>
  </cellXfs>
  <cellStyles count="3216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3 2" xfId="32086" xr:uid="{4F8B3C79-A8FD-4128-BCF9-C6C708106B35}"/>
    <cellStyle name="Comma 10 4 3 3" xfId="31813" xr:uid="{6CCBE5C8-FCE7-4DA1-B90B-1D85CA01A061}"/>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2 3" xfId="32087" xr:uid="{7745A624-156A-4C0D-99C0-B5D63A1469F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3 7" xfId="31866" xr:uid="{8B7D4AC9-EAFA-4821-999C-45D4FEBF61B3}"/>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2 3" xfId="32088" xr:uid="{1C1921D2-FDBC-49DC-9E81-61591228223E}"/>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4 5" xfId="31835" xr:uid="{610725FB-8A21-4BE3-898B-51D57F7E1898}"/>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3 2" xfId="32050" xr:uid="{C806C1E4-C76F-4B67-AAAF-460C2B85C508}"/>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2 3" xfId="32089" xr:uid="{CBDC53D0-D173-43C3-B574-26A60F6E0A76}"/>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4 2" xfId="32090" xr:uid="{C83AAEBC-D9E6-427C-8704-F69EF422E473}"/>
    <cellStyle name="Comma 5 12 4 3" xfId="31815" xr:uid="{49C01A2E-1C63-4036-BB55-71212B68FBE4}"/>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3 2" xfId="32091" xr:uid="{23635C73-420F-426A-94ED-0A8B994F7007}"/>
    <cellStyle name="Comma 5 13 3 3" xfId="31814" xr:uid="{AC0E03A0-EE53-48F9-9E9F-17125749E95B}"/>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3 7" xfId="31847" xr:uid="{79D50C6A-FA6B-4975-A969-001722B9115C}"/>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3 2" xfId="31952" xr:uid="{EB10D897-B43D-44CA-B38E-FF01B7B1D864}"/>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12" xfId="31821" xr:uid="{395A3A02-3FE5-492F-997E-5901E440E56E}"/>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2 3" xfId="31917" xr:uid="{B8AF4891-E6BD-4278-9FD1-91CF53BFCF6F}"/>
    <cellStyle name="Comma 5 2 2 2 3" xfId="30562" xr:uid="{FE94402B-6C78-43D2-9887-F6959E6CC981}"/>
    <cellStyle name="Comma 5 2 2 2 4" xfId="30927" xr:uid="{3089C8D7-EDC7-49C2-98BE-A8D0DB944D04}"/>
    <cellStyle name="Comma 5 2 2 2 5" xfId="31848" xr:uid="{BE31A8D0-42B3-4B50-90E2-E7E46596D9C6}"/>
    <cellStyle name="Comma 5 2 2 3" xfId="1595" xr:uid="{00000000-0005-0000-0000-0000EE010000}"/>
    <cellStyle name="Comma 5 2 2 3 2" xfId="30614" xr:uid="{8A82B498-C017-42E6-9D27-435A4DAFCF79}"/>
    <cellStyle name="Comma 5 2 2 3 2 2" xfId="30659" xr:uid="{84E2DE58-A4C0-4259-9280-0F10CD7AD0EB}"/>
    <cellStyle name="Comma 5 2 2 3 2 3" xfId="32040" xr:uid="{9A809329-9BC7-442B-9223-E0D66EA92DDC}"/>
    <cellStyle name="Comma 5 2 2 3 3" xfId="30575" xr:uid="{08126CC7-7B32-4987-B56B-3E8A92004100}"/>
    <cellStyle name="Comma 5 2 2 3 4" xfId="30941" xr:uid="{85BC386F-6704-42BC-B35B-A909453864AD}"/>
    <cellStyle name="Comma 5 2 2 3 5" xfId="31894" xr:uid="{911398EF-27F5-474D-91D0-122C8C4460C6}"/>
    <cellStyle name="Comma 5 2 2 4" xfId="1593" xr:uid="{00000000-0005-0000-0000-0000EF010000}"/>
    <cellStyle name="Comma 5 2 2 4 2" xfId="30550" xr:uid="{2B6B9656-2890-4C76-9E86-2F9A400B5207}"/>
    <cellStyle name="Comma 5 2 2 4 2 2" xfId="30660" xr:uid="{ABCDE278-9ADF-4B7C-B51D-6A70B9BEFAB0}"/>
    <cellStyle name="Comma 5 2 2 4 3" xfId="31836" xr:uid="{79F59D53-D5B4-40E9-9610-CCA65C188598}"/>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5 3 2" xfId="31898" xr:uid="{75DE2DC0-33FC-43A6-B47C-96F261118E8B}"/>
    <cellStyle name="Comma 5 2 2 6" xfId="9432" xr:uid="{FAAC16A9-4153-4AFD-B1F8-20E8F3A87C8C}"/>
    <cellStyle name="Comma 5 2 2 6 2" xfId="19812" xr:uid="{145F7030-0050-4EBD-8D41-3709A9B0904C}"/>
    <cellStyle name="Comma 5 2 2 6 3" xfId="32051" xr:uid="{27A53D8F-1842-4E5E-A2E5-35D1185B0A24}"/>
    <cellStyle name="Comma 5 2 2 7" xfId="25027" xr:uid="{DE75B844-EBEC-4A64-A7E9-57FF65839502}"/>
    <cellStyle name="Comma 5 2 2 8" xfId="14146" xr:uid="{58BAEC72-D61F-4682-9993-3944940B8945}"/>
    <cellStyle name="Comma 5 2 2 9" xfId="29549" xr:uid="{D4CDF6AA-3C1C-45DB-BF23-683A3F5A2E8F}"/>
    <cellStyle name="Comma 5 2 2 9 2" xfId="31826" xr:uid="{ECF38114-68B5-4110-8EA0-BD2AC030ABF0}"/>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2 3" xfId="31918" xr:uid="{43E0F026-8416-47B0-AAC3-893C227306C3}"/>
    <cellStyle name="Comma 5 2 4 2 3" xfId="30563" xr:uid="{92CD2FD6-65B4-444B-9BD4-8BD03B652048}"/>
    <cellStyle name="Comma 5 2 4 2 4" xfId="30928" xr:uid="{9F33CA11-07C6-481C-A78E-213CF504BA88}"/>
    <cellStyle name="Comma 5 2 4 2 5" xfId="31849" xr:uid="{1C86BCC5-0851-4A00-9816-A304E6E0E160}"/>
    <cellStyle name="Comma 5 2 4 3" xfId="30551" xr:uid="{0F4C2308-2688-446C-A27E-BFCE11140C68}"/>
    <cellStyle name="Comma 5 2 4 3 2" xfId="30633" xr:uid="{CFB4CA51-42B2-4BF5-9AF9-673F00BD5CFD}"/>
    <cellStyle name="Comma 5 2 4 3 2 2" xfId="32052" xr:uid="{06F0F8AE-BBCB-4D78-B0AB-B1216C828D76}"/>
    <cellStyle name="Comma 5 2 4 3 3" xfId="30943" xr:uid="{35CEEE63-7BB2-4EEA-83CF-5333A9F63EF4}"/>
    <cellStyle name="Comma 5 2 4 3 4" xfId="31837" xr:uid="{EDF9873F-33B8-4FD7-923E-E691CE8EBD1B}"/>
    <cellStyle name="Comma 5 2 4 4" xfId="30581" xr:uid="{79C2FE9C-BC47-45D3-81C7-55923423D801}"/>
    <cellStyle name="Comma 5 2 4 4 2" xfId="31899" xr:uid="{6A0574F0-E535-4DA4-AFE4-CECA12F6D802}"/>
    <cellStyle name="Comma 5 2 4 5" xfId="30622" xr:uid="{2D2FE097-3E58-4E43-B405-32F2F658B65A}"/>
    <cellStyle name="Comma 5 2 4 6" xfId="30920" xr:uid="{FFFC894D-F0FF-4CEA-9DAF-F49F3E52EACB}"/>
    <cellStyle name="Comma 5 2 4 7" xfId="31242" xr:uid="{2E5D930F-8B70-4941-B7AD-A1A539EE389A}"/>
    <cellStyle name="Comma 5 2 4 7 2" xfId="31830" xr:uid="{D4DDE0D0-EFFA-48FF-B7EA-8D5430475D74}"/>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2 3" xfId="31919" xr:uid="{A028D578-041B-426B-BE48-D5D0EFB010F4}"/>
    <cellStyle name="Comma 5 2 5 2 3" xfId="30564" xr:uid="{EB087388-5735-47DA-A778-C37D3BA09F7B}"/>
    <cellStyle name="Comma 5 2 5 2 4" xfId="30929" xr:uid="{9C5FD4B9-51E1-40C8-A1C0-B9DA63A12820}"/>
    <cellStyle name="Comma 5 2 5 2 5" xfId="31850" xr:uid="{0A2541C1-2679-4927-8CD8-FF5D655E1475}"/>
    <cellStyle name="Comma 5 2 5 3" xfId="30582" xr:uid="{594004CE-4C85-49C3-98D5-50D24316BFB4}"/>
    <cellStyle name="Comma 5 2 5 3 2" xfId="30634" xr:uid="{5DF27414-0425-4CEA-9FF2-B029A5DDBF7D}"/>
    <cellStyle name="Comma 5 2 5 3 2 2" xfId="32053" xr:uid="{8F89AAB0-3EA9-410A-9480-B287DFACD934}"/>
    <cellStyle name="Comma 5 2 5 3 3" xfId="30944" xr:uid="{7FF4A0CA-6FEC-4011-9105-1F245F102EA7}"/>
    <cellStyle name="Comma 5 2 5 3 4" xfId="31900" xr:uid="{021F3435-3B42-46FF-B72E-B3A4CD178AEF}"/>
    <cellStyle name="Comma 5 2 5 4" xfId="30623" xr:uid="{8D5CFC01-28FD-48B9-B5AE-BF61C0025B69}"/>
    <cellStyle name="Comma 5 2 5 4 2" xfId="32044" xr:uid="{A9DCB03E-9207-40E6-8533-068E7FBEF310}"/>
    <cellStyle name="Comma 5 2 5 5" xfId="30921" xr:uid="{8B4C09D8-9DF0-4BAC-A0B6-095950680402}"/>
    <cellStyle name="Comma 5 2 5 6" xfId="31838" xr:uid="{AE89DA92-B122-46B4-A241-75BC8622320D}"/>
    <cellStyle name="Comma 5 2 6" xfId="30549" xr:uid="{5C64EDE1-D10D-405A-BEBE-498A5BCE0F98}"/>
    <cellStyle name="Comma 5 2 7" xfId="30572" xr:uid="{02BF2878-498D-48D7-8F68-577919C83D6F}"/>
    <cellStyle name="Comma 5 2 7 2" xfId="30611" xr:uid="{C0CD91E5-D6C5-434A-96EB-1B3A036C6BBA}"/>
    <cellStyle name="Comma 5 2 7 2 2" xfId="31959" xr:uid="{7F33BBFD-35CC-422F-A628-4C871191ECEE}"/>
    <cellStyle name="Comma 5 2 7 3" xfId="30630" xr:uid="{F8EDEA31-A8F6-431F-BA36-CFAAABCD185E}"/>
    <cellStyle name="Comma 5 2 7 4" xfId="30937" xr:uid="{47F7B796-4D4E-4909-966E-3439D41D5605}"/>
    <cellStyle name="Comma 5 2 7 5" xfId="31864" xr:uid="{B39A4C00-E2FA-4A4A-A86B-E752CBD75620}"/>
    <cellStyle name="Comma 5 2 8" xfId="30547" xr:uid="{B1DF5FDB-1841-4554-815D-7CDC6C437CC6}"/>
    <cellStyle name="Comma 5 2 8 2" xfId="31820" xr:uid="{76C7F0C6-9F72-4035-907C-E4CB10657D16}"/>
    <cellStyle name="Comma 5 2 8 3" xfId="31832" xr:uid="{B9CFB510-D3ED-42C8-954E-608E6E797590}"/>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2 3" xfId="32093" xr:uid="{DF6B5A07-BCB6-4122-B08B-FF727BE32A31}"/>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6 7" xfId="31891" xr:uid="{C8CD9A60-0BD4-4740-806B-50ABE2AC2029}"/>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2 3" xfId="32094" xr:uid="{8F099752-A5DB-4BB4-954A-B4F8F3076E2F}"/>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2 3" xfId="32092" xr:uid="{6075B1F7-3D8C-4A62-AD2B-56A3C4023580}"/>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6 7" xfId="31885" xr:uid="{5C4BDE56-2F21-428F-8035-1503C641A184}"/>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2 3" xfId="32096" xr:uid="{ABF9688C-46B4-4154-8BA5-36A36A351744}"/>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2 3" xfId="32095" xr:uid="{4C058D7B-2F5A-4CBD-8E79-9A93D07AFAAA}"/>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5 7" xfId="31882" xr:uid="{E1C2DA7C-FCE3-4AA5-8C21-90CF28784764}"/>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2 3" xfId="32098" xr:uid="{EEEEFB68-F7D0-4BEA-BBAF-F13903F32C5A}"/>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7 5" xfId="31901" xr:uid="{3BF60C74-5475-4823-A423-AF0E80A2C24A}"/>
    <cellStyle name="Comma 5 5 8" xfId="3862" xr:uid="{BB40D789-347F-4EEE-90F2-9CD69067EE82}"/>
    <cellStyle name="Comma 5 5 8 2" xfId="8694" xr:uid="{9AC2FF51-5884-4416-8AA7-99DEB4C93414}"/>
    <cellStyle name="Comma 5 5 8 2 2" xfId="19074" xr:uid="{D9087CDC-1BF9-44A7-942A-4E4300147E7C}"/>
    <cellStyle name="Comma 5 5 8 2 3" xfId="32097" xr:uid="{613ACDA4-8776-48BC-AAF5-E4B31C86CD99}"/>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5 7" xfId="31881" xr:uid="{05BB8264-A47E-4AC3-9E51-D076D0E87FF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2 3" xfId="32100" xr:uid="{75DE9622-45BE-4D0E-B6AD-74F2CD9E5252}"/>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7 5" xfId="31902" xr:uid="{A05AA58B-7125-47F7-B0A4-AFD6135DFB21}"/>
    <cellStyle name="Comma 5 6 8" xfId="3863" xr:uid="{75645FB4-205D-4E97-ABC5-C721ABB9F46B}"/>
    <cellStyle name="Comma 5 6 8 2" xfId="8695" xr:uid="{9C4DAFBF-0377-441E-B8E5-C883A9095C2E}"/>
    <cellStyle name="Comma 5 6 8 2 2" xfId="19075" xr:uid="{B509ABE0-D8C4-4066-83AA-AE80A9FA47F9}"/>
    <cellStyle name="Comma 5 6 8 2 3" xfId="32099" xr:uid="{3E93E773-B50D-4810-8E2C-B7D48CA114E0}"/>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2 3" xfId="32101" xr:uid="{02C28028-5B74-4186-96E6-E0A8B3859D61}"/>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2 3" xfId="32102" xr:uid="{15483613-E132-4B37-960E-775D9F55975A}"/>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2 7" xfId="31851" xr:uid="{378FD9BD-E839-4EED-81CD-E880DE469956}"/>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4 7" xfId="31878" xr:uid="{E158C8FA-A4C8-425D-A357-F163291A5477}"/>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2 3" xfId="32103" xr:uid="{6625B612-9393-4C65-A78D-1EE4430F71E2}"/>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2 7" xfId="31852" xr:uid="{7D922D18-CD78-49E3-90CA-B106C65D56B0}"/>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2 3 2" xfId="31920" xr:uid="{9148C28C-95CD-4BA9-AF83-9FC9A93B1E59}"/>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4 7" xfId="31875" xr:uid="{4D0B5869-605D-4EA5-BCEE-8A80800BD07E}"/>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6 7" xfId="31886" xr:uid="{5D4CCA16-812A-4EA0-A8AA-20D0CC772D0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2 3" xfId="32105" xr:uid="{194858C3-3226-43C3-A9C9-72AFC8339E16}"/>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2 3" xfId="32104" xr:uid="{B45770FA-B161-4A52-A2E2-1121E9775B37}"/>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2 7" xfId="31868" xr:uid="{C71DB7ED-1481-494F-9E77-C35919C022DB}"/>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2 3" xfId="32107" xr:uid="{5086AB76-04CD-423E-93E7-EEFC04461DF1}"/>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2 3" xfId="32106" xr:uid="{304BC386-1A81-4E81-96DF-2ECBBE763626}"/>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5 7" xfId="31892" xr:uid="{D94B6913-136E-44B0-A9E0-B37B2B874271}"/>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2 3" xfId="32110" xr:uid="{941EBB5B-274A-409B-8AAE-1B9EC51B6777}"/>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2 3" xfId="32109" xr:uid="{F21AE17C-1E72-42E2-94CF-2E479AB97E12}"/>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6 7" xfId="31873" xr:uid="{4D9EBF94-A660-47CF-B6A6-3895266AD5A0}"/>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2 3" xfId="32111" xr:uid="{0F0C2CEA-B3E1-47FF-8CB5-7BCCA934308E}"/>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8 5" xfId="31903" xr:uid="{686D687C-6A6C-4F6E-90F4-525C1864C41B}"/>
    <cellStyle name="Comma 7 2 9" xfId="3869" xr:uid="{F4D1E9BD-A0FA-4A8D-8E31-D876682FFE4B}"/>
    <cellStyle name="Comma 7 2 9 2" xfId="8701" xr:uid="{8CB8DB38-03CC-41A3-8E7D-CCE0456C8EA4}"/>
    <cellStyle name="Comma 7 2 9 2 2" xfId="19081" xr:uid="{FB4C8D6A-90A4-4CDA-9E2E-5225EC1652DC}"/>
    <cellStyle name="Comma 7 2 9 2 3" xfId="32108" xr:uid="{7376F4D1-96F7-4A27-BB1D-6CD100E91C45}"/>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6 7" xfId="31887" xr:uid="{64DFFBD4-3721-4C4A-8C67-681E2CF1F98A}"/>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2 3" xfId="32113" xr:uid="{3C015165-B3BF-48E4-A76F-C72BAFCB70C0}"/>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2 3" xfId="32112" xr:uid="{34D1590B-69FD-4102-9FC7-65AD15BA19F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5 7" xfId="31883" xr:uid="{7400D995-1DA1-485D-821B-556B0C55BA41}"/>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2 3" xfId="32115" xr:uid="{1694AA5C-306A-4895-8E7D-5D2CA4E46CA1}"/>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7 5" xfId="31904" xr:uid="{41CE6E30-F59F-49D8-BC8B-23BC26569988}"/>
    <cellStyle name="Comma 7 4 8" xfId="3872" xr:uid="{6D2C64E3-2EB5-4B5F-AB7C-2CFD353A925B}"/>
    <cellStyle name="Comma 7 4 8 2" xfId="8704" xr:uid="{418BB3BF-3B1D-4B63-9BA4-95B5E7B8F262}"/>
    <cellStyle name="Comma 7 4 8 2 2" xfId="19084" xr:uid="{6EB814DC-1EEE-4F0F-9A34-5AF4EF51B40F}"/>
    <cellStyle name="Comma 7 4 8 2 3" xfId="32114" xr:uid="{719D156A-E80C-4AAA-9AFE-194148FC5FEE}"/>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2 3" xfId="32116" xr:uid="{9B3C0B47-AA44-4DCC-9C59-F24B71A6CF98}"/>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2 3" xfId="32117" xr:uid="{75BD241D-1500-446D-8C43-34D8A9FFE52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2 3" xfId="32118" xr:uid="{BC92EE34-3E73-48C2-8245-3C566C8AA21B}"/>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2 3" xfId="32119" xr:uid="{70BE5F76-DCB3-490C-BF8A-0B7D7E80E6C5}"/>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2 7" xfId="31853" xr:uid="{F41D6FCE-7705-40C8-A1FF-CB8225BCE816}"/>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2 3 2" xfId="31921" xr:uid="{C1335975-3EE1-4D33-9DF3-C5CA13B69340}"/>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4 7" xfId="31879" xr:uid="{59AD59B2-D712-4584-BBCD-530D1C231DB6}"/>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2 7" xfId="31854" xr:uid="{9761948F-5BB4-4911-8805-9DC1C4EF7FE3}"/>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2 3 2" xfId="31922" xr:uid="{31AFF5D3-68D0-4D4C-B247-A44AC98CB6B3}"/>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4 7" xfId="31876" xr:uid="{23F21FAA-73F2-483D-9A07-44AF7CCCB138}"/>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2 3" xfId="32120" xr:uid="{874BDF6B-1F8D-482B-82C7-8A2A4DC3C85E}"/>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4 5" xfId="31905" xr:uid="{E4EB1718-F96F-4710-8269-ED29EE280B79}"/>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5 7" xfId="31889" xr:uid="{5AD71B65-510B-489E-A653-58C1930D1C74}"/>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2 3" xfId="32123" xr:uid="{50259F29-D745-483D-921E-D807E288E793}"/>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2 3" xfId="32122" xr:uid="{93161F94-3BFB-4F93-9B70-930F66D192D2}"/>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6 7" xfId="31871" xr:uid="{8C99AD04-5DE9-48E7-A2EA-6264D3D7E2FE}"/>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2 3" xfId="32124" xr:uid="{EDFFF153-A695-4996-BF02-C5E2F69F6BC3}"/>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8 5" xfId="31906" xr:uid="{4822B129-2FFB-4F87-A3DE-D53E0E4FA9A5}"/>
    <cellStyle name="Comma 9 9" xfId="3877" xr:uid="{843F6AD1-FCB4-445A-AA8D-FE1C9F50769F}"/>
    <cellStyle name="Comma 9 9 2" xfId="8709" xr:uid="{95A34064-24CD-4754-9807-8A57438B2F68}"/>
    <cellStyle name="Comma 9 9 2 2" xfId="19089" xr:uid="{7555BDD1-0452-4A18-A1C8-2D9D28563F51}"/>
    <cellStyle name="Comma 9 9 2 3" xfId="32121" xr:uid="{EF859B15-FEF9-47C3-B9C5-B5EADD5BFEFA}"/>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0 2" xfId="32042" xr:uid="{D17B859F-DF0F-4267-8656-AAAA5D6BD8F1}"/>
    <cellStyle name="Currency 3 11" xfId="30918" xr:uid="{AC79C766-96F4-4BB0-9D53-CAD075CD5FB9}"/>
    <cellStyle name="Currency 3 12" xfId="31822" xr:uid="{98120EB1-7647-41F7-BBFD-A4A4B9EB6DBA}"/>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2 3" xfId="31924" xr:uid="{BAE2C14E-4A7A-4628-AFE4-1585817F4E62}"/>
    <cellStyle name="Currency 3 2 2 3" xfId="30565" xr:uid="{1EE52B54-EC85-4641-BC5E-D5D513A14121}"/>
    <cellStyle name="Currency 3 2 2 4" xfId="30931" xr:uid="{9104C6C5-305B-4CE0-B9BE-66CC40287E6D}"/>
    <cellStyle name="Currency 3 2 2 5" xfId="31856" xr:uid="{5EB894A8-941D-4CF7-B233-ABAFABA5ADF7}"/>
    <cellStyle name="Currency 3 2 3" xfId="1852" xr:uid="{00000000-0005-0000-0000-00004B030000}"/>
    <cellStyle name="Currency 3 2 3 2" xfId="30615" xr:uid="{2D020D6F-B1E2-42BA-9525-8CD612C11686}"/>
    <cellStyle name="Currency 3 2 3 2 2" xfId="30821" xr:uid="{793F920B-E972-4134-AAFB-C8B0826B0E0C}"/>
    <cellStyle name="Currency 3 2 3 2 3" xfId="32041" xr:uid="{4A5D9B89-7FFD-4A41-8468-1CB739D7E422}"/>
    <cellStyle name="Currency 3 2 3 3" xfId="30576" xr:uid="{B4E6E47A-8B2C-4E61-BB8D-30D9C4F7C82A}"/>
    <cellStyle name="Currency 3 2 3 4" xfId="30942" xr:uid="{F852420D-7AB5-4DD1-92DF-D97324C12DE3}"/>
    <cellStyle name="Currency 3 2 3 5" xfId="31895" xr:uid="{4000D289-5F01-4F3B-911C-945EC620B634}"/>
    <cellStyle name="Currency 3 2 4" xfId="1850" xr:uid="{00000000-0005-0000-0000-00004C030000}"/>
    <cellStyle name="Currency 3 2 4 2" xfId="30557" xr:uid="{143D821B-A1E5-45AA-8D28-FA09A9A6E54E}"/>
    <cellStyle name="Currency 3 2 4 2 2" xfId="30822" xr:uid="{5A603EFF-9CB2-4DC6-9418-67911C9EF2AE}"/>
    <cellStyle name="Currency 3 2 4 3" xfId="31839" xr:uid="{0A041585-9CA6-44D3-B9D1-4FCECFE3E4F7}"/>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5 3 2" xfId="31907" xr:uid="{AC58BF11-0A9B-43AA-BA28-183E2F414E3F}"/>
    <cellStyle name="Currency 3 2 6" xfId="9516" xr:uid="{A25B73E7-4A18-4EDD-982A-FC35F1B762F1}"/>
    <cellStyle name="Currency 3 2 6 2" xfId="19896" xr:uid="{FCE94371-A497-4F1A-B43C-D5DF03027CDF}"/>
    <cellStyle name="Currency 3 2 6 3" xfId="32054" xr:uid="{A7C6B78F-DDC9-42CA-BAA2-6F0C966BB5CD}"/>
    <cellStyle name="Currency 3 2 7" xfId="25617" xr:uid="{E1682AC9-7E11-46F4-8DF3-337BFBCF6CAC}"/>
    <cellStyle name="Currency 3 2 8" xfId="14230" xr:uid="{ADDB2CFA-D549-4A22-A71D-B2AEB10EA70D}"/>
    <cellStyle name="Currency 3 2 9" xfId="31827" xr:uid="{52C7FB8A-1DDB-4A77-B5A6-63492892AAA5}"/>
    <cellStyle name="Currency 3 3" xfId="30413" xr:uid="{D9261D7C-4BB0-4F23-8A7D-89513C8C9F65}"/>
    <cellStyle name="Currency 3 3 2" xfId="31735" xr:uid="{9F28017B-09FD-4116-95EA-3C6191C16857}"/>
    <cellStyle name="Currency 3 3 2 2" xfId="31816" xr:uid="{3E659D78-DB93-45BB-8A82-9F613B244B5E}"/>
    <cellStyle name="Currency 3 3 3" xfId="31734" xr:uid="{2E19853A-BD9B-49B2-BD11-BAA078192F75}"/>
    <cellStyle name="Currency 3 3 4" xfId="31732" xr:uid="{28236B07-0D25-4CEF-8149-7AE901FE2386}"/>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2 3" xfId="31925" xr:uid="{1E670417-8F45-4F51-97F8-1E1A6B40993E}"/>
    <cellStyle name="Currency 3 4 2 3" xfId="30566" xr:uid="{CF89AC64-B129-47C4-9033-859EF82BC59F}"/>
    <cellStyle name="Currency 3 4 2 4" xfId="30932" xr:uid="{BFD1A78F-8924-435D-8C6C-0D4901C78012}"/>
    <cellStyle name="Currency 3 4 2 5" xfId="31857" xr:uid="{F8A31AC0-E427-43BB-B0C1-906E09C144B0}"/>
    <cellStyle name="Currency 3 4 3" xfId="30558" xr:uid="{20CD84F8-EDE8-4AF4-B532-A3E1B5109EF4}"/>
    <cellStyle name="Currency 3 4 3 2" xfId="30635" xr:uid="{DF88B98C-68E1-47F3-A338-2C5D7520D934}"/>
    <cellStyle name="Currency 3 4 3 2 2" xfId="32055" xr:uid="{ED943B0D-492A-4521-B27A-33CEAC0BD6DA}"/>
    <cellStyle name="Currency 3 4 3 3" xfId="30945" xr:uid="{45BC16B4-B7BF-4099-8716-EADE89E871F5}"/>
    <cellStyle name="Currency 3 4 3 4" xfId="31840" xr:uid="{E2598A25-9105-49BE-AC7F-838F798C8791}"/>
    <cellStyle name="Currency 3 4 4" xfId="30591" xr:uid="{68808DD4-EE59-4BA1-BF12-A45A21B1D415}"/>
    <cellStyle name="Currency 3 4 4 2" xfId="31908" xr:uid="{D9DE6A77-86AB-44DD-A406-4B3B341C8199}"/>
    <cellStyle name="Currency 3 4 5" xfId="30624" xr:uid="{D16E1CA0-3C3A-427D-9FC3-9BB85E6A1553}"/>
    <cellStyle name="Currency 3 4 5 2" xfId="32045" xr:uid="{D5589781-F993-4539-BA91-29CAC8DDA8BA}"/>
    <cellStyle name="Currency 3 4 6" xfId="30922" xr:uid="{FAD81B93-BBB8-43D5-BD80-94DF096C6A51}"/>
    <cellStyle name="Currency 3 4 7" xfId="31828" xr:uid="{5E608FF0-A36A-4EC0-B673-0455B374002C}"/>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2 3" xfId="31926" xr:uid="{8A948CDC-8D37-4E47-AAE4-A70DEB6F7B82}"/>
    <cellStyle name="Currency 3 5 2 3" xfId="30567" xr:uid="{DD97E0D8-3A98-41BE-B0BE-039F013CA0A8}"/>
    <cellStyle name="Currency 3 5 2 4" xfId="30933" xr:uid="{7558C0CC-CC3C-48DB-873C-E663906AD405}"/>
    <cellStyle name="Currency 3 5 2 5" xfId="31858" xr:uid="{446AD5F5-890B-4FE6-81A8-4265967BABA9}"/>
    <cellStyle name="Currency 3 5 3" xfId="30592" xr:uid="{06599778-836F-4CFE-92BA-FDF17CE2D98E}"/>
    <cellStyle name="Currency 3 5 3 2" xfId="30636" xr:uid="{2D11F2B4-9C32-4FD4-856C-702A205F961B}"/>
    <cellStyle name="Currency 3 5 3 2 2" xfId="32056" xr:uid="{BF770617-A9D6-4FA9-8662-6FB8221BE100}"/>
    <cellStyle name="Currency 3 5 3 3" xfId="30946" xr:uid="{DF42840B-E34C-485E-9570-C84EC1F5ECCC}"/>
    <cellStyle name="Currency 3 5 3 4" xfId="31909" xr:uid="{E9088C26-36C7-4F5F-92F9-F536C76797A2}"/>
    <cellStyle name="Currency 3 5 4" xfId="30625" xr:uid="{DFF81114-405C-4BD9-882E-3E6DCC627BBA}"/>
    <cellStyle name="Currency 3 5 4 2" xfId="32046" xr:uid="{CA9F28BF-B569-4D7A-85E6-9958985943F0}"/>
    <cellStyle name="Currency 3 5 5" xfId="30923" xr:uid="{889487E8-CDE1-4124-A152-07293079280A}"/>
    <cellStyle name="Currency 3 5 6" xfId="31841" xr:uid="{E192612E-6E5F-4B47-8C9E-47A51B4704E0}"/>
    <cellStyle name="Currency 3 6" xfId="30556" xr:uid="{E6F281E3-0276-4ECA-AC9C-37A1F772038D}"/>
    <cellStyle name="Currency 3 7" xfId="30573" xr:uid="{5086352A-41FE-4853-9FBE-0A6014B61D30}"/>
    <cellStyle name="Currency 3 7 2" xfId="30612" xr:uid="{7367140C-062D-4451-8ECD-8EE326D93E2A}"/>
    <cellStyle name="Currency 3 7 2 2" xfId="31960" xr:uid="{66EB5E57-DBC9-4E71-9305-0EC1D743F648}"/>
    <cellStyle name="Currency 3 7 3" xfId="30631" xr:uid="{EE3C1B3E-C238-41D4-83A6-0E95DA0C6E18}"/>
    <cellStyle name="Currency 3 7 4" xfId="30938" xr:uid="{95BC5195-8BFF-481F-A698-758C4BBDB773}"/>
    <cellStyle name="Currency 3 7 5" xfId="31865" xr:uid="{0BD315F1-800E-4811-8073-99B9563F8F6D}"/>
    <cellStyle name="Currency 3 8" xfId="30546" xr:uid="{0CD1A085-9703-4560-91E9-56A6256AB4B6}"/>
    <cellStyle name="Currency 3 8 2" xfId="31819" xr:uid="{F55BEE51-501D-4982-B825-BBA0BAB38156}"/>
    <cellStyle name="Currency 3 8 3" xfId="31831" xr:uid="{ED1D5C51-2569-47B3-801F-2B6962C178FC}"/>
    <cellStyle name="Currency 3 9" xfId="30577" xr:uid="{DB854ECE-A65B-4464-A0DC-C7561B51E415}"/>
    <cellStyle name="Currency 3 9 2" xfId="31896" xr:uid="{527D41E7-CA42-4429-97B6-227DDC2A0EFA}"/>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2 7" xfId="31869" xr:uid="{1710469A-131E-4F71-9BA6-C976F3556DB9}"/>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2 3" xfId="32126" xr:uid="{22C21047-2ACC-4C94-AAD1-1F68D7BA00B2}"/>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2 3" xfId="32125" xr:uid="{2C83FF74-5639-4371-8332-26D75BE26CF5}"/>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5 7" xfId="31893" xr:uid="{DF4487F2-5BD7-439E-B09A-A2F15F43FF74}"/>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2 3" xfId="32129" xr:uid="{2645F8F3-C2A1-4651-80CF-B01EE8314E10}"/>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2 3" xfId="32128" xr:uid="{D3DAE93C-D987-4FD5-A335-0382D1124F65}"/>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6 7" xfId="31874" xr:uid="{B047DAEE-6B2A-4B49-8612-4CA414C4BEBC}"/>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2 3" xfId="32130" xr:uid="{1FE35EC0-1DC0-45B3-AB09-4AED1C9AC1EB}"/>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8 5" xfId="31910" xr:uid="{FBD73BCD-156C-44C3-B7C2-B7CF00E78E51}"/>
    <cellStyle name="Currency 4 2 9" xfId="3882" xr:uid="{DC251A4F-5AD9-45C1-BD34-8461C5214166}"/>
    <cellStyle name="Currency 4 2 9 2" xfId="8714" xr:uid="{C1BC6D1A-7EE7-4C47-87C8-C0673B800AAC}"/>
    <cellStyle name="Currency 4 2 9 2 2" xfId="19094" xr:uid="{648BA1C2-C386-4F11-BB8B-8B4A1CC8CB92}"/>
    <cellStyle name="Currency 4 2 9 2 3" xfId="32127" xr:uid="{2957658D-9CCF-4697-BE9E-F90E96191038}"/>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6 7" xfId="31888" xr:uid="{91248BD6-B894-42CD-BDA3-6AF0CE3674B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2 3" xfId="32132" xr:uid="{424B50D6-C247-47DF-858B-7B496FACD76F}"/>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2 3" xfId="32131" xr:uid="{110AA42F-8E2E-4EB2-909F-07EFDA2E0D87}"/>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5 7" xfId="31884" xr:uid="{AF0D366C-DE78-4EC7-8DBA-456F1FE6011A}"/>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2 3" xfId="32134" xr:uid="{B1DA2A63-9049-4B80-8B71-196F9756A1F4}"/>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7 5" xfId="31911" xr:uid="{56702248-79D0-48D9-8F69-07EDA8538607}"/>
    <cellStyle name="Currency 4 4 8" xfId="3885" xr:uid="{8F492FEB-DD26-4D92-B639-56080C96DAD0}"/>
    <cellStyle name="Currency 4 4 8 2" xfId="8717" xr:uid="{DAD2360B-067F-4D07-A858-480B67333D2B}"/>
    <cellStyle name="Currency 4 4 8 2 2" xfId="19097" xr:uid="{C7898B95-E082-451B-B2EC-50C3150B9BA5}"/>
    <cellStyle name="Currency 4 4 8 2 3" xfId="32133" xr:uid="{7096FF04-5997-4D83-A1E1-EC5FFCFD6634}"/>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2 3" xfId="32135" xr:uid="{A0C95EA7-8F4D-449A-AA42-1AE06ACD9872}"/>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2 3" xfId="32136" xr:uid="{F7BFE668-7D1F-4A29-ADAD-0E6F871906E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2 3" xfId="32137" xr:uid="{93542330-A69D-4CFB-ABA2-A23D9ABCBC7D}"/>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2 3" xfId="32138" xr:uid="{4FFC4094-E14C-4CF6-BB31-A5FC4CE1B88D}"/>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2 7" xfId="31859" xr:uid="{E5E94E43-A787-4E5C-BF22-7A920E3BEDD9}"/>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2 3 2" xfId="31927" xr:uid="{2DC96381-5962-4553-BA85-4D8275D79925}"/>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4 7" xfId="31880" xr:uid="{D97E7425-7BFC-4DC7-BB15-DDF4E32F76C1}"/>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2 7" xfId="31860" xr:uid="{D598EDCA-5B56-4388-AF3B-0DA4751EAE67}"/>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2 3 2" xfId="31928" xr:uid="{7C83B399-B8F2-43D0-B8A4-3E46130CA8A3}"/>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4 7" xfId="31877" xr:uid="{D54AEEAE-F2A4-4721-9837-B76D628A86CE}"/>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2 3" xfId="32139" xr:uid="{672CFB64-21E0-4B4E-AF17-A86C361853EC}"/>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4 5" xfId="31912" xr:uid="{9F02ACE8-22C8-4B2F-B3A8-EDB5814E1B4C}"/>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5 7" xfId="31890" xr:uid="{501311EF-FCB0-4B84-81C4-AF9A73D59402}"/>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2 3" xfId="32142" xr:uid="{87A62E92-886E-407F-A36A-A95D459D0217}"/>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2 3" xfId="32141" xr:uid="{33CB68B5-DFEC-4C51-B4E2-CBF799C88F58}"/>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6 7" xfId="31872" xr:uid="{CDF23C35-61BD-46C5-A674-47EFC1A248B2}"/>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2 3" xfId="32143" xr:uid="{B50DB30A-B5E8-4AD3-AACA-FB7DC2A9764E}"/>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8 5" xfId="31913" xr:uid="{A8D5EDDF-8F77-44CC-B66A-B62FE327F46D}"/>
    <cellStyle name="Currency 5 9" xfId="3890" xr:uid="{089FD322-7546-4AC5-8174-2B983C2A3FFE}"/>
    <cellStyle name="Currency 5 9 2" xfId="8722" xr:uid="{46C8EBAA-AF0F-49E2-B11D-4F23B851DDE3}"/>
    <cellStyle name="Currency 5 9 2 2" xfId="19102" xr:uid="{3CB0A62C-3199-451E-93BA-2F628417CE2F}"/>
    <cellStyle name="Currency 5 9 2 3" xfId="32140" xr:uid="{D596C57B-E3A2-41DC-81A1-2772CA5A305B}"/>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2 2" xfId="31923" xr:uid="{0998D414-2D96-4C50-882D-EE5189C77E6C}"/>
    <cellStyle name="Currency 8 3" xfId="14227" xr:uid="{12253B7A-9A70-4C29-8C8E-F200B7DAA98B}"/>
    <cellStyle name="Currency 8 4" xfId="30930" xr:uid="{D45966F1-6C24-42C2-8D71-F9FB2965BA9E}"/>
    <cellStyle name="Currency 8 5" xfId="31855" xr:uid="{9904D3F9-F7E3-4597-B75E-BBC7C9F617EA}"/>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2 2" xfId="32144" xr:uid="{2076314F-0C2C-40FA-8063-DE6E8757118A}"/>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2 4" xfId="31979" xr:uid="{38D1A145-888E-419C-8F57-C69C78843014}"/>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2 4" xfId="32039" xr:uid="{C8FF90D1-C395-4B5F-8888-44CE9C4F3280}"/>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2 4" xfId="32027" xr:uid="{54010F1F-A974-4222-A2FC-166045176EC2}"/>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2 2" xfId="32057" xr:uid="{15FBA12F-95D2-4C63-A5B2-194A8AA2AA1B}"/>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2 4" xfId="32009" xr:uid="{CDDBC40C-804F-45DD-B7D4-EB8E7F64DFC9}"/>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2 2" xfId="32058" xr:uid="{7BD6922C-EDDA-4D9E-AF74-FBAF265F1F51}"/>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2 4" xfId="31994" xr:uid="{C12B04AA-304A-42B9-9ACD-D3BA382B9E87}"/>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2 2" xfId="32059" xr:uid="{D9ADB9B1-4712-46B8-A3C2-F73429E4E13A}"/>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2 4" xfId="32011" xr:uid="{3DBFDDD5-6B70-4F43-84DB-D9E54FC02B2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2 2" xfId="32060" xr:uid="{FB1E3D30-BC8D-4A15-AB1A-7D7BD602B8AA}"/>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2 4" xfId="32010" xr:uid="{56F60B5F-ADD6-4E56-AC32-E3944C8ED9DD}"/>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2 2" xfId="32061" xr:uid="{F5BDACB9-A2AD-4394-8395-EC57D9A02B9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2 4" xfId="32008" xr:uid="{030B6426-68B4-495A-A253-E6CD7C4A1E36}"/>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2 4" xfId="31993" xr:uid="{0D82AFC6-1CD4-4608-9D6D-AE1D9CD20E57}"/>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2 2" xfId="32145" xr:uid="{7A986269-059D-4A84-8AC2-A013073E44BC}"/>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2 4" xfId="31966" xr:uid="{B03ACD2D-B0AB-4050-B975-9CA8F62BC367}"/>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2 2" xfId="32146" xr:uid="{0B1676BD-B0A0-4142-9B33-74BC1192A253}"/>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2 4" xfId="31916" xr:uid="{4A31410A-E752-4775-9094-E614E37952AC}"/>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2 4" xfId="31995" xr:uid="{6CA2A1C6-27CD-403F-ACA8-C2A611C74B44}"/>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2 2" xfId="32062" xr:uid="{C14E34D2-DAD9-4BFA-92A2-A308EE79871D}"/>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2 4" xfId="31980" xr:uid="{1F8259BA-EDA3-47E5-95E0-F7E5E307A268}"/>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2 4" xfId="31967" xr:uid="{8C9D54E9-D9E3-4A2F-9ECA-DDF683FC195B}"/>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2 4" xfId="31929" xr:uid="{C2337410-3C33-4C89-9FBB-8CA9BBE27913}"/>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2 2" xfId="32063" xr:uid="{AFFCB178-8114-4660-B5E6-674FC534395A}"/>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2 2" xfId="32147" xr:uid="{C9EB7F82-20FC-4BDB-99D4-1187913CB4E7}"/>
    <cellStyle name="Normal 2 16 2 3" xfId="14356" xr:uid="{8F0649BB-FB29-4495-8867-9DADDE3172C1}"/>
    <cellStyle name="Normal 2 16 2 4" xfId="31953" xr:uid="{B01B254F-B571-4A0D-AA82-6B71673DB7C5}"/>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2 2" xfId="32160" xr:uid="{1764043C-B781-42D8-AFE2-9C4B95348CB7}"/>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2 4" xfId="31996" xr:uid="{F1FB0830-B439-479F-91B6-844FE5A4B06C}"/>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2 2" xfId="32064" xr:uid="{0E497CE4-903D-4333-B13A-D0FADA2C7363}"/>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2 4" xfId="31981" xr:uid="{3FE497FD-6B95-47A9-9A5C-61E87C703C89}"/>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2 4" xfId="31968" xr:uid="{9082F729-AC48-4F7A-8C02-A18E9A5403F3}"/>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2 4" xfId="31931" xr:uid="{4F5808B5-D516-494F-B920-99536D39003D}"/>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2 2" xfId="32148" xr:uid="{5BB95D60-D95B-40FD-AC24-F23A6AD06D52}"/>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2 2" xfId="32149" xr:uid="{BFEE2F9D-7BE6-41F0-BEBC-CBBCBC56D58B}"/>
    <cellStyle name="Normal 2 2 16 2 3" xfId="15102" xr:uid="{A6040207-EB44-4575-8EA9-C4CE90C60DC5}"/>
    <cellStyle name="Normal 2 2 16 2 4" xfId="31930" xr:uid="{1C3DE815-76D0-4A7B-BB6B-BB3C889E72BF}"/>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2 4" xfId="31954" xr:uid="{62216A0C-A3AC-4123-8C3A-BB6D64589EA1}"/>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2 4" xfId="31933" xr:uid="{38DE37DF-9E96-4FFC-8C0C-4AE3A956F0AC}"/>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2 4" xfId="31932" xr:uid="{14E6CACA-119B-499B-99F4-5FA6BE6070B8}"/>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2 4" xfId="31962" xr:uid="{0ABCB8EF-F768-4C6F-80CF-BD70A06934FA}"/>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2 4" xfId="32035" xr:uid="{956701D9-B351-4249-A733-896FACB3AD77}"/>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2 4" xfId="32021" xr:uid="{609B5B8D-3A25-4697-8FA5-5F08B118CA04}"/>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2 2" xfId="32065" xr:uid="{D654C5C1-5CFD-45F4-8EA8-5A4B725DFBCE}"/>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2 4" xfId="32002" xr:uid="{76866978-7BBB-49B7-9CA1-1A853ED37A4A}"/>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2 2" xfId="32066" xr:uid="{4163FB31-1B8A-4E97-AFB1-09EE512CA91C}"/>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2 4" xfId="31987" xr:uid="{C3062188-E588-418A-8552-09F6183CDD73}"/>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2 4" xfId="31974" xr:uid="{67E74D36-B447-4AD9-B73A-64D0FF4FF046}"/>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2 4" xfId="32029" xr:uid="{7CBA7F8E-AEF0-4188-80F8-98426BDC943A}"/>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2 4" xfId="32013" xr:uid="{A847CBFA-0268-4628-9D75-4E7D7FB0E31A}"/>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2 4" xfId="31935" xr:uid="{84BAE09F-C902-4802-AD16-7B7945A4EE4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2 4" xfId="31934" xr:uid="{731535C5-77A9-45AF-B2EA-1F9A6B98AAEF}"/>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2 4" xfId="31961" xr:uid="{69BFA508-90D8-4807-A665-EB7FC41D757E}"/>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2 4" xfId="32034" xr:uid="{0A4C15B0-FD0E-4428-9CA4-865154A2FDA3}"/>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2 4" xfId="32019" xr:uid="{C797CCB6-73D7-4D8F-A255-C3F4CAB87F1C}"/>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2 2" xfId="32067" xr:uid="{50D86148-671D-4B78-AC34-4CAC70D6F230}"/>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2 4" xfId="32001" xr:uid="{162BEBFF-71B2-4B32-B1F7-CFB72D660AC4}"/>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2 2" xfId="32068" xr:uid="{B65F8662-8FF8-45D9-BF7F-1A99ABC105C4}"/>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2 4" xfId="31986" xr:uid="{92E47C7F-6C71-4B92-B2A4-ADBEF869C61E}"/>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2 4" xfId="31973" xr:uid="{390896A4-7501-460F-B57E-11981CB4EDDB}"/>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2 4" xfId="32020" xr:uid="{10002C3B-A598-459B-BDD8-0DA2E5152D63}"/>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2 4" xfId="32028" xr:uid="{71417039-AA51-42D5-9E7B-1A0AA588AF6A}"/>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2 4" xfId="32012" xr:uid="{BA6F66C5-F1D6-4F36-BD15-D9D3B33207F6}"/>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4" xr:uid="{D98DBDA1-DE35-44FC-A51F-0E68FED6456E}"/>
    <cellStyle name="Normal 25" xfId="30098" xr:uid="{07506169-A6FD-44A0-8C52-1A1EF451F172}"/>
    <cellStyle name="Normal 25 2" xfId="31723" xr:uid="{3E4F77F9-7215-4CE0-8C24-44A124B9C10D}"/>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3 8" xfId="31737" xr:uid="{46494BCD-83DB-4F70-97A7-4AF0AE70CC8A}"/>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2 8" xfId="31736" xr:uid="{229D353E-A30C-43F1-9996-80B4FC8A0EF2}"/>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3 7" xfId="31739" xr:uid="{127ED3B2-D702-4FAE-9CC7-C0ADFA366200}"/>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4 8" xfId="31738" xr:uid="{F7C74FB9-95DE-4275-9584-1762CC085B5E}"/>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3 8" xfId="31741" xr:uid="{602E4FFC-94BB-4F61-90CF-688962F9178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4 8" xfId="31740" xr:uid="{AA8C00EF-A7BF-4FD4-BBBD-6C3D6D0694F5}"/>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742" xr:uid="{61325C4C-941D-4494-987E-833BB4833871}"/>
    <cellStyle name="Normal 3 2 3 6" xfId="30112" xr:uid="{2DA27080-57C7-488E-9E66-228C66F3BB6F}"/>
    <cellStyle name="Normal 3 2 3 6 2" xfId="30471" xr:uid="{CBE48B84-9220-4165-B20B-487010328F48}"/>
    <cellStyle name="Normal 3 2 3 7" xfId="31725" xr:uid="{8C7E33EC-EAD4-4BAC-8F45-98F48E6C236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3 8" xfId="31744" xr:uid="{96113754-C3FC-4438-9547-EA5AC917207F}"/>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4 8" xfId="31743" xr:uid="{D9F5864D-8A48-4CE2-BFC1-7A133942BAA4}"/>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745" xr:uid="{54F08EBA-DD4A-4949-B4DD-99D1538EF5C0}"/>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2 4" xfId="31997" xr:uid="{88CCFCFD-8E71-40E5-BC32-628160838B64}"/>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2 2" xfId="32069" xr:uid="{7C55F9FB-804C-499B-BB70-FF09FDE392D0}"/>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2 4" xfId="31982" xr:uid="{713D400F-EA9F-4C03-838D-44AD72F3D29F}"/>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2 4" xfId="31969" xr:uid="{0C4751D4-2040-4BA5-86A1-C9DE246C98C3}"/>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2 2" xfId="32150" xr:uid="{5AF9767F-3AFD-4813-9DB6-2E1E26FCC480}"/>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2 2" xfId="32151" xr:uid="{DB4975C2-F1BC-4CAC-8996-943D5D2583AF}"/>
    <cellStyle name="Normal 4 16 2 3" xfId="14505" xr:uid="{6F1450C7-6852-41A6-99A6-860D40DDC944}"/>
    <cellStyle name="Normal 4 16 2 4" xfId="31936" xr:uid="{6B3E511E-6C12-4682-A7E6-29E4F91C041C}"/>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2 4" xfId="31955" xr:uid="{241DC673-0F6E-447E-8E66-2EB58DACA0B0}"/>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2 2" xfId="32070" xr:uid="{E32EAD59-6873-4D0A-B8C6-315A47D2A0DC}"/>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2 4" xfId="31983" xr:uid="{9EC014A8-A12A-41BA-A778-16F2C526B7A3}"/>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2 4" xfId="31970" xr:uid="{D202CCE4-97FF-4434-8E0D-174B9AA8DA2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2 4" xfId="31938" xr:uid="{06240A12-0F3A-41B7-8FC1-B446473B4898}"/>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2 2" xfId="32152" xr:uid="{9FC9B965-C687-4334-8292-A2D8AAA05276}"/>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2 2" xfId="32153" xr:uid="{DE42C8E1-0B39-4CA5-9A61-DEB01B79F004}"/>
    <cellStyle name="Normal 4 2 14 2 3" xfId="15103" xr:uid="{C59EDB31-B160-4473-BBB4-631B98FC424F}"/>
    <cellStyle name="Normal 4 2 14 2 4" xfId="31937" xr:uid="{08655C9C-2F74-4AEA-ACD8-B374ABA86416}"/>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2 4" xfId="31956" xr:uid="{CB219200-89E8-4790-A3FC-9B8A41A2764C}"/>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2 4" xfId="31940" xr:uid="{BB269C37-6D96-4528-88EE-C46856E8129C}"/>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2 4" xfId="31939" xr:uid="{FF1B95E9-5ED3-470E-B360-0D3E57B96D14}"/>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2 4" xfId="31964" xr:uid="{3FFBAF45-76AA-4FDF-8847-53A44AACA6DB}"/>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2 4" xfId="32037" xr:uid="{F7CA60C8-CB44-41F0-99FC-C45A08673D66}"/>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2 4" xfId="32023" xr:uid="{BC7A2529-DFD1-4943-A21B-2CB865A20F74}"/>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2 2" xfId="32071" xr:uid="{39BF94E4-0A07-4676-B2B7-A48026D11513}"/>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2 4" xfId="32004" xr:uid="{BA4EAD2F-9AE5-4F61-B553-399EA1C823A7}"/>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2 2" xfId="32072" xr:uid="{124D46F3-AF48-46F7-A2ED-2FA1FAAD9A00}"/>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2 4" xfId="31989" xr:uid="{5867AAC5-0D3E-4929-8C6F-7E11032612E2}"/>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2 4" xfId="31976" xr:uid="{A095AF7E-7EBB-4AE2-A3EB-DDDC4650C6F7}"/>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2 4" xfId="32031" xr:uid="{8BAEEFA1-1A53-47FD-95F2-6BC404D75A74}"/>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2 4" xfId="32015" xr:uid="{230FA6B2-1AD3-4497-B36A-DB569AA37A1F}"/>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2 4" xfId="31998" xr:uid="{F61F584C-5C88-408E-B842-28D752FC46BD}"/>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2 4" xfId="31942" xr:uid="{93F76094-C5C4-4454-ADC1-E74020A5B71F}"/>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2 4" xfId="31941" xr:uid="{6410868E-EB19-4076-91DE-4A912CF44CB7}"/>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2 4" xfId="31963" xr:uid="{CE560E4E-3F43-406D-A7CA-DCA1CAE39233}"/>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2 4" xfId="32036" xr:uid="{698BA252-FFE7-443F-9419-5796E3567775}"/>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2 4" xfId="32022" xr:uid="{AE777995-DC1A-4CD8-991A-750B21B67704}"/>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2 2" xfId="32073" xr:uid="{001D9B03-6E7A-44E5-86BB-BCACE7FA2488}"/>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2 4" xfId="32003" xr:uid="{B567D51C-DC67-4E91-A963-232F97F5532D}"/>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2 2" xfId="32074" xr:uid="{86E7555B-DCD3-4BA4-AF20-03C7CD7DBB52}"/>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2 4" xfId="31988" xr:uid="{5D5CF704-E066-4C7C-89CC-C9F7AF6DF858}"/>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2 4" xfId="31975" xr:uid="{BF0F7817-BF27-4B77-9E12-2A3841749C1C}"/>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2 4" xfId="32030" xr:uid="{FC05D504-FE7D-4EE1-94C7-CA5280AC3EBF}"/>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2 4" xfId="32014" xr:uid="{651ACEF1-D363-47B3-848E-7154109DE783}"/>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3 8" xfId="31747" xr:uid="{8AB3063E-D6AB-41CB-8150-644DD52919D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2 8" xfId="31746" xr:uid="{988513EB-16B3-4EF6-803E-0FC5911CDB1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3 7" xfId="31749" xr:uid="{DD621665-4339-4DEC-B0A8-C806DDA3AA5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4 8" xfId="31748" xr:uid="{6CADE4E8-3919-44B2-8611-6240C4E040CB}"/>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3 8" xfId="31751" xr:uid="{6C32F0FB-7106-4CBE-B225-E3ED820E450F}"/>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4 8" xfId="31750" xr:uid="{9E5DF9E5-0EF6-4D20-9CC7-9292C04CA04D}"/>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752" xr:uid="{59D64594-A1D6-4930-8D7F-EC8FA9E9FC42}"/>
    <cellStyle name="Normal 5 2 2 3 6" xfId="30104" xr:uid="{93BD7124-346B-4FA7-9E75-822A18739E86}"/>
    <cellStyle name="Normal 5 2 2 3 6 2" xfId="30472" xr:uid="{B7FC6D84-3823-4E1F-9CD2-CD3763CCF30A}"/>
    <cellStyle name="Normal 5 2 2 3 7" xfId="31722" xr:uid="{2825A028-D935-4820-A754-15E49F9A2231}"/>
    <cellStyle name="Normal 5 2 2 3 8" xfId="31726" xr:uid="{3453A55E-33DA-4B2C-97B0-4FDE0BDB2D6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3 8" xfId="31754" xr:uid="{CD3829E3-AACD-4C87-8CC0-F80D1C71ED00}"/>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4 8" xfId="31753" xr:uid="{243EC3BD-9FFD-40FC-BD99-BACDF662193D}"/>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755" xr:uid="{7C72444D-F6C4-4E5C-B5FD-B04A8DCE055B}"/>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3 8" xfId="31757" xr:uid="{B9273557-DDFF-49A0-BBE4-2DCBF288687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2 8" xfId="31756" xr:uid="{9938D979-992C-45C9-A011-A32529FDA924}"/>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3 7" xfId="31759" xr:uid="{7516F35A-37B8-4EE6-A16C-04C72972839D}"/>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4 8" xfId="31758" xr:uid="{A3D827CF-8C9C-4828-B121-38C619AFC47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3 8" xfId="31761" xr:uid="{9C3BCB0F-500F-496C-901A-31D6E827C562}"/>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4 9" xfId="31760" xr:uid="{D7619D68-9C99-49B4-94AA-97D134585AA2}"/>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5 6" xfId="31762" xr:uid="{CE33E6AB-B745-478A-B2E4-1167E961244A}"/>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4 8" xfId="31727" xr:uid="{E97D3A17-C969-45F2-A60C-626E662AB834}"/>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3 8" xfId="31764" xr:uid="{755B1231-C5D3-4239-9CAF-5D01290B758B}"/>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6 8" xfId="31763" xr:uid="{E12FE903-6EF2-4427-9A93-48757E18010E}"/>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7 8" xfId="31765" xr:uid="{535D6C31-B109-42E8-B52B-B56E0EDACDD2}"/>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3 8" xfId="31767" xr:uid="{66731750-8B28-47F8-9528-F9CC8CEE5E91}"/>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2 8" xfId="31766" xr:uid="{D66B8390-195E-4AE8-AA91-DCD331A94858}"/>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3 7" xfId="31769" xr:uid="{797CBD22-768E-4409-84F7-91E3FE77EE61}"/>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4 8" xfId="31768" xr:uid="{287F9BEF-6B08-43D0-8277-ECFD379DE4D6}"/>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3 8" xfId="31771" xr:uid="{89ED430A-1BBE-4281-9BA3-34753052D94E}"/>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4 8" xfId="31770" xr:uid="{B39CC820-F5BA-4EFC-BC85-A7C5F17E9408}"/>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772" xr:uid="{39145992-1685-4D5A-AA19-EAD0A54DCF56}"/>
    <cellStyle name="Normal 5 3 6" xfId="30114" xr:uid="{FF7EC34F-1D03-426F-944C-8DDEC9BD14BD}"/>
    <cellStyle name="Normal 5 3 6 2" xfId="30474" xr:uid="{C83318F6-E85A-4A71-88FC-A52912529995}"/>
    <cellStyle name="Normal 5 3 7" xfId="31728" xr:uid="{83D28A7D-FFF7-4293-953F-6D49041D5DDB}"/>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0 8" xfId="31774" xr:uid="{53FB72C6-DB85-4A31-B96A-3BEE2C49D614}"/>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10" xfId="31775" xr:uid="{DBE55362-03FD-482D-8E0B-10EFEAAC3D27}"/>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4 4 2" xfId="32154" xr:uid="{40D97AFA-C0C2-44B2-A42A-7543A985C52C}"/>
    <cellStyle name="Normal 5 5 14 5" xfId="31773" xr:uid="{784A532B-36E0-4307-B668-B58D33A9A7D5}"/>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824" xr:uid="{1287FAF3-28B5-44CE-A803-8F7BF1342FD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10" xfId="31776" xr:uid="{2D77C20B-4AB7-4091-9237-EC04B3BCCF09}"/>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3 3" xfId="31817" xr:uid="{49B2EB3A-3C6E-4093-AB07-560AC40ECECF}"/>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2 9" xfId="31845" xr:uid="{11EF8C38-4821-46BE-A755-D7F107B4A5AA}"/>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7 2" xfId="31833" xr:uid="{71568014-5F4E-4180-B064-A874477E0FF4}"/>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2 4" xfId="31943" xr:uid="{CECED073-3412-4CAA-895E-54C524586605}"/>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2 4" xfId="32024" xr:uid="{9D930434-045F-4A2E-812E-8342BE6F4897}"/>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2 2" xfId="32075" xr:uid="{141A7E51-AB8F-474A-910D-8402E9985C56}"/>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2 4" xfId="32005" xr:uid="{AE998535-5B8D-48EB-8CD7-1CBC7CADCB61}"/>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2 2" xfId="32076" xr:uid="{73CCE473-41E3-47CF-90ED-EE6130CBB05F}"/>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2 4" xfId="31990" xr:uid="{B835734D-B401-4474-AE12-75FAA425F0CF}"/>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777" xr:uid="{0B418BEE-38A9-435E-B7D3-F329A1FF0828}"/>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3 8" xfId="31779" xr:uid="{D5E1CB91-DD58-4EDC-982A-7794BF336089}"/>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2 8" xfId="31778" xr:uid="{E0A761B5-72D5-45EC-80FA-1FD02B11854D}"/>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3 7" xfId="31781" xr:uid="{F8329E11-349F-4BA4-A1DB-CCD078E66C11}"/>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4 8" xfId="31780" xr:uid="{A1EBB40B-0B18-4F22-83EC-D3BC07F97D6E}"/>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3 8" xfId="31783" xr:uid="{084FC852-41A2-4923-957D-F4276F2E6835}"/>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4 8" xfId="31782" xr:uid="{A7376019-6FB1-4919-A330-CE107AAF0E01}"/>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784" xr:uid="{5E4CDEDE-1D90-4B2A-AB0C-B4C8B24C7B97}"/>
    <cellStyle name="Normal 6 3 3 6" xfId="30102" xr:uid="{39D311B1-3F99-4637-B6B6-3945F5B433CC}"/>
    <cellStyle name="Normal 6 3 3 6 2" xfId="30475" xr:uid="{F1B2B02C-F2EA-473E-AE49-8B217EFDE528}"/>
    <cellStyle name="Normal 6 3 3 7" xfId="31729" xr:uid="{416DC2D8-D7FF-44C1-AE0D-C5171B1CE03D}"/>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3 8" xfId="31786" xr:uid="{BF44585C-BE93-495C-9BE0-53FA8CDCA75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4 8" xfId="31785" xr:uid="{66509973-F006-4752-BEF2-6BD7784CB8F6}"/>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787" xr:uid="{5C372F44-A556-446E-99C9-7F9AFE92D92F}"/>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3 8" xfId="31789" xr:uid="{528D3934-0454-4D80-AC58-7E6DC52CCCC6}"/>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2 8" xfId="31788" xr:uid="{E2F1760D-EF6F-4C72-A15D-42F6D8676895}"/>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3 7" xfId="31791" xr:uid="{50CDF30B-996E-4E6A-AEF5-D894C3D919BC}"/>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4 8" xfId="31790" xr:uid="{351FA894-D98E-4D7F-A208-983F58EEE176}"/>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3 8" xfId="31793" xr:uid="{FE93C9BE-5BCA-4103-8476-30D76DCC6B20}"/>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4 8" xfId="31792" xr:uid="{2783A8DE-F3BA-463E-A2CE-924C1833E035}"/>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794" xr:uid="{9F84D3A8-81B8-48C3-8B07-AE42E5573CD0}"/>
    <cellStyle name="Normal 6 5 6" xfId="30115" xr:uid="{8D7A58C9-2680-41F9-B10A-5FB6EB00FD95}"/>
    <cellStyle name="Normal 6 5 6 2" xfId="30476" xr:uid="{6AC3E222-93E2-4ED5-A04F-8AD2183A95F8}"/>
    <cellStyle name="Normal 6 5 7" xfId="31730" xr:uid="{FA8F3D4C-C1B2-4169-8150-31E9F130B2B5}"/>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3 7" xfId="31796" xr:uid="{F79D7C0F-2716-43D8-A417-547EEAD70FCC}"/>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4 8" xfId="31797" xr:uid="{62882A74-2F82-41A4-B13D-380193B93050}"/>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6 7" xfId="31798" xr:uid="{B72B210C-AC8E-4598-84AB-71CFCBC26D61}"/>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4" xfId="32155" xr:uid="{E43E3145-A664-4683-987E-99F37E7AB178}"/>
    <cellStyle name="Normal 6 6 7 5" xfId="31795" xr:uid="{00550B77-4B5F-4D08-8BDE-9EE02F4C84CD}"/>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1799" xr:uid="{AABAE0D8-FDE5-416F-BD9E-0E1ABED51CCD}"/>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2 4" xfId="31999" xr:uid="{5D047133-AE1B-4538-A1D0-ED9DA1E7A4C1}"/>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2 2" xfId="32077" xr:uid="{9DE45A4F-5038-4DC0-9511-5DA7D9026B23}"/>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2 4" xfId="31984" xr:uid="{25B3C1AF-78F1-4BF3-BB00-15B2E5B9A3B6}"/>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2 7" xfId="31801" xr:uid="{7220C242-31D3-4FAE-B758-CF82166C9210}"/>
    <cellStyle name="Normal 7 14 3" xfId="5400" xr:uid="{FAC9975F-8F2F-4E63-A9C3-9F3C1010A589}"/>
    <cellStyle name="Normal 7 14 3 2" xfId="25774" xr:uid="{8D397C2B-E913-4504-B12F-1B0EE6347D16}"/>
    <cellStyle name="Normal 7 14 3 2 2" xfId="30609" xr:uid="{8CB35ADA-85AD-456B-A4A2-9E7935D7A153}"/>
    <cellStyle name="Normal 7 14 3 2 2 2" xfId="31944" xr:uid="{FF4E75B6-B0A1-4CE0-A971-BEB625AF8BEF}"/>
    <cellStyle name="Normal 7 14 3 2 3" xfId="30628" xr:uid="{844DF4E4-5553-4C45-8863-EB680F88D5AA}"/>
    <cellStyle name="Normal 7 14 3 2 4" xfId="30934" xr:uid="{01A695C0-06D1-4038-BF9D-2C5EAC4E3B89}"/>
    <cellStyle name="Normal 7 14 3 2 5" xfId="31861" xr:uid="{F542EA46-3862-44B3-A6B4-77C756F1F085}"/>
    <cellStyle name="Normal 7 14 3 3" xfId="27633" xr:uid="{07857877-B5B2-4CEB-A569-43A78CB1FF4C}"/>
    <cellStyle name="Normal 7 14 3 3 2" xfId="30637" xr:uid="{B264691C-E730-4EB5-8788-D14FC0F420C6}"/>
    <cellStyle name="Normal 7 14 3 3 2 2" xfId="32078" xr:uid="{AE1B2241-03DF-4A34-B248-9DE3A363DB80}"/>
    <cellStyle name="Normal 7 14 3 3 3" xfId="30947" xr:uid="{6CD0E69B-2973-47A6-BAED-35F716DDA0C5}"/>
    <cellStyle name="Normal 7 14 3 3 4" xfId="31914" xr:uid="{A3992825-91E5-499A-A7D4-2ED0FE74D1D6}"/>
    <cellStyle name="Normal 7 14 3 4" xfId="14697" xr:uid="{15E50FBB-3C72-4F94-9257-EF48A0129430}"/>
    <cellStyle name="Normal 7 14 3 4 2" xfId="32047" xr:uid="{262C9AF9-E3EF-43B3-9F57-63405A4B2A2A}"/>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1842" xr:uid="{47EA41D9-290B-49AA-ADB2-438889858692}"/>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2 2" xfId="31971" xr:uid="{C7135201-DE28-4202-B3AF-1788876DB943}"/>
    <cellStyle name="Normal 7 14 5 3" xfId="20363" xr:uid="{9449C78C-D33B-459C-BBF9-694343407FAB}"/>
    <cellStyle name="Normal 7 14 5 4" xfId="30939" xr:uid="{E0BCDBFB-8F60-42E5-B625-B2599670E8F5}"/>
    <cellStyle name="Normal 7 14 5 5" xfId="31867" xr:uid="{24CCFB64-86D9-4A2B-A61B-F94FC0B0439F}"/>
    <cellStyle name="Normal 7 14 6" xfId="24136" xr:uid="{9092CC78-A25F-48A6-83D4-F44869564DEA}"/>
    <cellStyle name="Normal 7 14 6 2" xfId="31800" xr:uid="{D8CA01E5-8031-4162-9C58-49D53B4F7A88}"/>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2 2" xfId="31945" xr:uid="{D8DB7CAD-242E-4D80-9645-ECCD14516068}"/>
    <cellStyle name="Normal 7 15 2 3" xfId="15104" xr:uid="{17D943AA-C222-4B4C-A18F-6CCE6BA583AE}"/>
    <cellStyle name="Normal 7 15 2 4" xfId="30935" xr:uid="{33745800-52FB-4055-8019-A260A36BC408}"/>
    <cellStyle name="Normal 7 15 2 5" xfId="31862" xr:uid="{1AF205F0-8CBB-4FF5-8C88-746136FD4F9E}"/>
    <cellStyle name="Normal 7 15 3" xfId="7557" xr:uid="{F1E98D2C-5E23-44D7-A17A-E7E508629C08}"/>
    <cellStyle name="Normal 7 15 3 2" xfId="17937" xr:uid="{AE558860-C380-4D33-B8F4-BAFABF7E14FC}"/>
    <cellStyle name="Normal 7 15 3 2 2" xfId="32079" xr:uid="{1F7A4F33-0B46-4BD6-8751-E0AA826B4882}"/>
    <cellStyle name="Normal 7 15 3 3" xfId="30948" xr:uid="{0DCC9790-3146-4601-AB3F-28C8BDFFB878}"/>
    <cellStyle name="Normal 7 15 3 4" xfId="31843" xr:uid="{C77B5705-295B-4E70-9497-998BFE935DF3}"/>
    <cellStyle name="Normal 7 15 4" xfId="10390" xr:uid="{0365E554-FA94-4190-A1D6-9E0EE659857C}"/>
    <cellStyle name="Normal 7 15 4 2" xfId="20770" xr:uid="{2A88BA57-D2E1-463D-AEDB-D1CD92CC2019}"/>
    <cellStyle name="Normal 7 15 5" xfId="23728" xr:uid="{7232D1CA-690F-4D52-9D19-42CE68785447}"/>
    <cellStyle name="Normal 7 15 5 2" xfId="32048" xr:uid="{D0D31FFD-3887-47DB-8266-6DAF85A03CE9}"/>
    <cellStyle name="Normal 7 15 6" xfId="12819" xr:uid="{F5044BB9-43F3-49F3-B21A-9AD06E1D6815}"/>
    <cellStyle name="Normal 7 15 7" xfId="31829" xr:uid="{31CAD52B-2A65-4A1E-A696-EC7000575014}"/>
    <cellStyle name="Normal 7 16" xfId="2159" xr:uid="{00000000-0005-0000-0000-0000D6070000}"/>
    <cellStyle name="Normal 7 16 2" xfId="7286" xr:uid="{487A9249-76DA-44C0-9FB7-C1ECCC926A3F}"/>
    <cellStyle name="Normal 7 16 2 2" xfId="17666" xr:uid="{E8531131-82DE-4A9C-9E7C-B57E41F8A0D7}"/>
    <cellStyle name="Normal 7 16 2 2 2" xfId="32156" xr:uid="{43C2771A-7EDC-4DEF-B862-25B4166A92D3}"/>
    <cellStyle name="Normal 7 16 2 3" xfId="30950" xr:uid="{A45B824F-5108-4980-B469-78E9818C36B4}"/>
    <cellStyle name="Normal 7 16 2 4" xfId="31957" xr:uid="{08D4329C-2613-4C5A-BB94-50405509B242}"/>
    <cellStyle name="Normal 7 16 3" xfId="10119" xr:uid="{55FE5E11-08C7-4A4A-B6B1-9A55D8442D61}"/>
    <cellStyle name="Normal 7 16 3 2" xfId="20499" xr:uid="{5B263FD6-644E-4205-BA6A-B5FA3C82A433}"/>
    <cellStyle name="Normal 7 16 4" xfId="24615" xr:uid="{3531CAC4-9557-447A-A968-11C6FD1FBF49}"/>
    <cellStyle name="Normal 7 16 4 2" xfId="32161" xr:uid="{2C27B0DB-3CC3-434A-8A32-E50928862933}"/>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8 2" xfId="31897" xr:uid="{B21E7EA3-36B1-4AE7-9042-C8686D7F2CB3}"/>
    <cellStyle name="Normal 7 19" xfId="12391" xr:uid="{409BED8C-AD22-4BB5-AC49-DFFDB915DE9E}"/>
    <cellStyle name="Normal 7 19 2" xfId="32043" xr:uid="{22F63F9A-9145-43FD-A96B-42CBBD5BC64A}"/>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3 8" xfId="31803" xr:uid="{A1AC4EED-FFAD-4109-8FD7-C7B7A517F66F}"/>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2 8" xfId="31802" xr:uid="{0946404F-79DE-475A-BC5C-C768BF859493}"/>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3 7" xfId="31805" xr:uid="{3E290697-D204-4117-B93D-12D6E397E16E}"/>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4 8" xfId="31804" xr:uid="{B42D7ADA-7B55-42B6-9444-D37FE8C8641C}"/>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3 8" xfId="31807" xr:uid="{10AE5D7C-6D73-4619-8189-5CE345810C2D}"/>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4 8" xfId="31806" xr:uid="{8E5CA4EF-618B-4E0F-AB42-ECF058D64986}"/>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8" xr:uid="{E49B1467-8543-43E4-BDC8-887DA46AF674}"/>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31" xr:uid="{4057B0DA-A8C9-442A-B9EC-44CC53623D05}"/>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2 2" xfId="32080" xr:uid="{3703601A-E1D5-4642-B404-7FE1FCD48366}"/>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2 4" xfId="31985" xr:uid="{39F8A4B4-31A7-455D-BCAA-32E60CA8419E}"/>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2 4" xfId="31972" xr:uid="{F847A27C-1E32-400F-97CB-FE8DAF72C739}"/>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2 4" xfId="31947" xr:uid="{ED055817-2322-4027-A98F-F1D5D21DBBC3}"/>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2 2" xfId="32157" xr:uid="{3C515496-BECB-4902-8FD6-D299D91D68CC}"/>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2 2" xfId="32158" xr:uid="{0CA39F9B-F55A-4665-A089-28287D2D53F2}"/>
    <cellStyle name="Normal 7 4 14 2 3" xfId="15105" xr:uid="{BFFD30BA-1915-43A2-B593-BE77E98D0E0F}"/>
    <cellStyle name="Normal 7 4 14 2 4" xfId="31946" xr:uid="{0A16B30C-2AF3-47BA-813A-0967919111D1}"/>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2 4" xfId="31958" xr:uid="{13329465-F455-477C-BA9C-578C97F3130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2 4" xfId="31949" xr:uid="{7D79BFE0-98EB-4BFE-90F3-89361F64A0D5}"/>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2 4" xfId="31948" xr:uid="{5F5A0CAA-78FE-418C-A629-7E26B42888F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2 4" xfId="31965" xr:uid="{496B54BC-A7DE-469C-A2BD-FEDBF1C17ED5}"/>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2 4" xfId="32038" xr:uid="{A4337680-B122-4821-8114-18B858A81044}"/>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2 4" xfId="32026" xr:uid="{10B26864-42E1-43E1-B74D-F68D354ABEC7}"/>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2 2" xfId="32081" xr:uid="{D3A06B98-DF6C-47DF-AC9A-7D6D3AC3821B}"/>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2 4" xfId="32007" xr:uid="{947490F1-766C-478C-BA12-E548083D2808}"/>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2 2" xfId="32082" xr:uid="{03702390-69DE-4357-A5F0-5A9E40EE0560}"/>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2 4" xfId="31992" xr:uid="{EB026E19-4D6B-4C13-A95F-37B3544D1261}"/>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2 4" xfId="31978" xr:uid="{43FE8E82-24AD-42D2-B2E4-5AB221275D4E}"/>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2 4" xfId="32033" xr:uid="{FE0D4C6F-1CD7-454B-8FC6-68D94EAE7089}"/>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2 4" xfId="32017" xr:uid="{AE0DBFF5-8CA7-4401-8519-158496DBE144}"/>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2 4" xfId="32000" xr:uid="{510D41C3-6F07-402C-B1AB-155D28A9642B}"/>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0 8" xfId="31810" xr:uid="{973F93AE-7AEB-4B9D-8A56-E1BDC2497B25}"/>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2 8" xfId="31811" xr:uid="{E4228E28-8104-46CF-97ED-384DA1DC185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4 4 2" xfId="32159" xr:uid="{9E52C155-281E-4946-BDF7-5274F122331F}"/>
    <cellStyle name="Normal 7 6 14 5" xfId="31809" xr:uid="{B8447099-92FA-46C4-9A4F-A3F11F880967}"/>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823" xr:uid="{E1F98E72-8FF2-4FCE-AD45-575EB396F9A3}"/>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10" xfId="31812" xr:uid="{3B390A3C-31E7-45AB-8D9A-938B0BBE4B86}"/>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3 3" xfId="31818" xr:uid="{5CAB5E6C-B1BA-4CAB-9B33-220F7C25650F}"/>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2 9" xfId="31846" xr:uid="{6A293946-474D-4A27-B3A0-954C03B56F2F}"/>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7 2" xfId="31834" xr:uid="{A3A41309-B5A3-4E9D-AA2D-1CD19EA86CFB}"/>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2 4" xfId="31950" xr:uid="{1743AE7D-A960-4DF0-9287-C3DCE1A6FA1D}"/>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2 4" xfId="32025" xr:uid="{884B3440-F132-410F-917A-987AB4DF403E}"/>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2 2" xfId="32083" xr:uid="{605AD08E-0475-4DB8-978E-A619E7535314}"/>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2 4" xfId="32006" xr:uid="{7288D6BF-82B8-4EE1-A188-C2F9B4AED334}"/>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2 2" xfId="32084" xr:uid="{60083A24-2832-4E92-88F0-33047DAF05BF}"/>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2 4" xfId="31991" xr:uid="{63177662-9BD6-42A8-90CD-495920BA477F}"/>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2 2" xfId="31951" xr:uid="{DDBB54F9-173B-43DD-A300-BDD181C02AC2}"/>
    <cellStyle name="Normal 7 6 9 3 2 3" xfId="30629" xr:uid="{D926D891-B7C7-4693-8B9F-A282844D3DAF}"/>
    <cellStyle name="Normal 7 6 9 3 2 4" xfId="30936" xr:uid="{D974361E-AECE-4B32-BC25-92B53BFBEF24}"/>
    <cellStyle name="Normal 7 6 9 3 2 5" xfId="31863" xr:uid="{B4F21EB3-FDF1-4EF0-B96E-830878ED8109}"/>
    <cellStyle name="Normal 7 6 9 3 3" xfId="30597" xr:uid="{1CB22FE2-C93E-4B7A-9F83-F05BC42F8988}"/>
    <cellStyle name="Normal 7 6 9 3 3 2" xfId="30638" xr:uid="{0E85BEEA-8502-4FB9-9D7B-9B39FC6894C4}"/>
    <cellStyle name="Normal 7 6 9 3 3 2 2" xfId="32085" xr:uid="{775569B8-588C-4C15-8493-8AE00BF05036}"/>
    <cellStyle name="Normal 7 6 9 3 3 3" xfId="30949" xr:uid="{10A0B2B1-C014-460B-B97B-1F8715293478}"/>
    <cellStyle name="Normal 7 6 9 3 3 4" xfId="31915" xr:uid="{ECECBB2F-1F2C-489F-978F-C31DE3EAE5F9}"/>
    <cellStyle name="Normal 7 6 9 3 4" xfId="30626" xr:uid="{D5B2EEA1-BA41-4ECF-8645-DC7FCB362E6F}"/>
    <cellStyle name="Normal 7 6 9 3 4 2" xfId="32049" xr:uid="{B1B5A116-32F2-44FB-BA48-7EAD8061D1D0}"/>
    <cellStyle name="Normal 7 6 9 3 5" xfId="30924" xr:uid="{59272B79-6782-498A-A565-B27F383EE7E8}"/>
    <cellStyle name="Normal 7 6 9 3 6" xfId="31844" xr:uid="{0CF1B326-0EC1-4D13-897D-8BDF8C351DB4}"/>
    <cellStyle name="Normal 7 6 9 4" xfId="30574" xr:uid="{AF443EFD-BF75-488F-8C96-3A07A286175C}"/>
    <cellStyle name="Normal 7 6 9 4 2" xfId="30613" xr:uid="{93E0A71D-1FCA-4C1A-8893-2D82F9B7C858}"/>
    <cellStyle name="Normal 7 6 9 4 2 2" xfId="31977" xr:uid="{5B2C6136-1866-4BE0-A9E0-EECEC1204EE5}"/>
    <cellStyle name="Normal 7 6 9 4 3" xfId="30632" xr:uid="{32F1BC2F-10D3-4E71-AD07-986C280704B2}"/>
    <cellStyle name="Normal 7 6 9 4 4" xfId="30940" xr:uid="{D4C2894F-E69E-46C0-825F-9DFEC6921BF8}"/>
    <cellStyle name="Normal 7 6 9 4 5" xfId="31870" xr:uid="{2DE6FCB8-9464-466E-BFDA-EDFB12E34B04}"/>
    <cellStyle name="Normal 7 6 9 5" xfId="31825" xr:uid="{D0AB713F-D295-4E2E-A917-0788187BED6D}"/>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2 4" xfId="32032" xr:uid="{07707BDF-56AD-489F-B490-A8B959232E18}"/>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2 4" xfId="32016" xr:uid="{00A25BEE-541A-4EB8-A0D5-BBD2E1AC95A3}"/>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2 4" xfId="32018" xr:uid="{C17C450C-C760-40B7-B36B-0C663C04ACAB}"/>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4 6" xfId="31733" xr:uid="{8094F678-E6FB-4AE9-AFE7-76B1FCB6C4E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6" formatCode=";;;"/>
    </dxf>
    <dxf>
      <numFmt numFmtId="186" formatCode=";;;"/>
    </dxf>
    <dxf>
      <numFmt numFmtId="186" formatCode=";;;"/>
    </dxf>
    <dxf>
      <numFmt numFmtId="186" formatCode=";;;"/>
    </dxf>
    <dxf>
      <numFmt numFmtId="186"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7"/>
      <tableStyleElement type="headerRow" dxfId="126"/>
      <tableStyleElement type="firstRowStripe" dxfId="125"/>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0FB8-451E-A31F-8106E5059BFB}"/>
            </c:ext>
          </c:extLst>
        </c:ser>
        <c:ser>
          <c:idx val="1"/>
          <c:order val="1"/>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0FB8-451E-A31F-8106E5059BFB}"/>
            </c:ext>
          </c:extLst>
        </c:ser>
        <c:ser>
          <c:idx val="2"/>
          <c:order val="2"/>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EC99-4B84-819B-5FA53B597976}"/>
            </c:ext>
          </c:extLst>
        </c:ser>
        <c:ser>
          <c:idx val="1"/>
          <c:order val="1"/>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EC99-4B84-819B-5FA53B597976}"/>
            </c:ext>
          </c:extLst>
        </c:ser>
        <c:ser>
          <c:idx val="2"/>
          <c:order val="2"/>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A6EC-4DCA-A4FF-DAB01969D3CA}"/>
            </c:ext>
          </c:extLst>
        </c:ser>
        <c:ser>
          <c:idx val="1"/>
          <c:order val="1"/>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A6EC-4DCA-A4FF-DAB01969D3CA}"/>
            </c:ext>
          </c:extLst>
        </c:ser>
        <c:ser>
          <c:idx val="2"/>
          <c:order val="2"/>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D9E9-4F09-B4AB-5AEBE682FC95}"/>
            </c:ext>
          </c:extLst>
        </c:ser>
        <c:ser>
          <c:idx val="1"/>
          <c:order val="1"/>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D9E9-4F09-B4AB-5AEBE682FC95}"/>
            </c:ext>
          </c:extLst>
        </c:ser>
        <c:ser>
          <c:idx val="2"/>
          <c:order val="2"/>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DCD8-4BD2-BB91-ABDB6BD1EDAF}"/>
            </c:ext>
          </c:extLst>
        </c:ser>
        <c:ser>
          <c:idx val="1"/>
          <c:order val="1"/>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DCD8-4BD2-BB91-ABDB6BD1EDAF}"/>
            </c:ext>
          </c:extLst>
        </c:ser>
        <c:ser>
          <c:idx val="2"/>
          <c:order val="2"/>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1904996</xdr:colOff>
      <xdr:row>46</xdr:row>
      <xdr:rowOff>266700</xdr:rowOff>
    </xdr:from>
    <xdr:to>
      <xdr:col>5</xdr:col>
      <xdr:colOff>3459476</xdr:colOff>
      <xdr:row>52</xdr:row>
      <xdr:rowOff>9525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00721" y="47910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903" customWidth="1"/>
    <col min="2" max="2" width="187.109375" style="903" customWidth="1"/>
    <col min="3" max="4" width="9.109375" style="903" hidden="1" customWidth="1"/>
    <col min="5" max="5" width="2.33203125" style="903" customWidth="1"/>
    <col min="6" max="6" width="8.109375" style="903" customWidth="1"/>
    <col min="7" max="16384" width="9.109375" style="903"/>
  </cols>
  <sheetData>
    <row r="1" spans="2:14" ht="9.6" customHeight="1" thickBot="1" x14ac:dyDescent="0.35">
      <c r="B1" s="177"/>
    </row>
    <row r="2" spans="2:14" ht="91.8" customHeight="1" thickBot="1" x14ac:dyDescent="0.35">
      <c r="B2" s="1046" t="s">
        <v>1176</v>
      </c>
    </row>
    <row r="3" spans="2:14" ht="61.2" customHeight="1" x14ac:dyDescent="0.3">
      <c r="B3" s="188" t="s">
        <v>1177</v>
      </c>
    </row>
    <row r="4" spans="2:14" ht="83.4" customHeight="1" x14ac:dyDescent="0.4">
      <c r="B4" s="188" t="s">
        <v>1199</v>
      </c>
      <c r="F4" s="1064"/>
      <c r="G4" s="1064"/>
      <c r="H4" s="1064"/>
      <c r="I4" s="1064"/>
      <c r="J4" s="1064"/>
      <c r="K4" s="1064"/>
      <c r="L4" s="1064"/>
      <c r="M4" s="1064"/>
      <c r="N4" s="1064"/>
    </row>
    <row r="5" spans="2:14" ht="58.2" customHeight="1" x14ac:dyDescent="0.3">
      <c r="B5" s="188" t="s">
        <v>1178</v>
      </c>
    </row>
    <row r="6" spans="2:14" ht="117.6" customHeight="1" x14ac:dyDescent="0.3">
      <c r="B6" s="178" t="s">
        <v>1179</v>
      </c>
    </row>
    <row r="7" spans="2:14" ht="25.95" customHeight="1" x14ac:dyDescent="0.3">
      <c r="B7" s="190" t="s">
        <v>539</v>
      </c>
    </row>
    <row r="8" spans="2:14" ht="49.2" customHeight="1" x14ac:dyDescent="0.3">
      <c r="B8" s="1047" t="s">
        <v>1180</v>
      </c>
    </row>
    <row r="9" spans="2:14" ht="42.6" customHeight="1" x14ac:dyDescent="0.3">
      <c r="B9" s="1047" t="s">
        <v>540</v>
      </c>
    </row>
    <row r="10" spans="2:14" s="1065" customFormat="1" ht="34.200000000000003" customHeight="1" x14ac:dyDescent="0.3">
      <c r="B10" s="1048" t="s">
        <v>541</v>
      </c>
    </row>
    <row r="11" spans="2:14" s="1065" customFormat="1" ht="55.8" customHeight="1" x14ac:dyDescent="0.3">
      <c r="B11" s="1049" t="s">
        <v>1181</v>
      </c>
    </row>
    <row r="12" spans="2:14" ht="36" customHeight="1" x14ac:dyDescent="0.3">
      <c r="B12" s="1049" t="s">
        <v>1182</v>
      </c>
    </row>
    <row r="13" spans="2:14" ht="39" customHeight="1" x14ac:dyDescent="0.3">
      <c r="B13" s="1050" t="s">
        <v>1183</v>
      </c>
    </row>
    <row r="14" spans="2:14" ht="25.95" customHeight="1" x14ac:dyDescent="0.3">
      <c r="B14" s="190" t="s">
        <v>542</v>
      </c>
    </row>
    <row r="15" spans="2:14" x14ac:dyDescent="0.3">
      <c r="B15" s="177"/>
    </row>
    <row r="16" spans="2:14" x14ac:dyDescent="0.3">
      <c r="B16" s="1051" t="s">
        <v>37</v>
      </c>
    </row>
    <row r="17" spans="2:2" ht="15.6" customHeight="1" x14ac:dyDescent="0.3">
      <c r="B17" s="1052" t="s">
        <v>1184</v>
      </c>
    </row>
    <row r="18" spans="2:2" x14ac:dyDescent="0.3">
      <c r="B18" s="1053"/>
    </row>
    <row r="19" spans="2:2" x14ac:dyDescent="0.3">
      <c r="B19" s="1051" t="s">
        <v>38</v>
      </c>
    </row>
    <row r="20" spans="2:2" ht="15.6" customHeight="1" x14ac:dyDescent="0.3">
      <c r="B20" s="1054" t="s">
        <v>399</v>
      </c>
    </row>
    <row r="21" spans="2:2" ht="13.2" customHeight="1" x14ac:dyDescent="0.3">
      <c r="B21" s="177"/>
    </row>
    <row r="22" spans="2:2" ht="25.95" customHeight="1" x14ac:dyDescent="0.3">
      <c r="B22" s="190" t="s">
        <v>543</v>
      </c>
    </row>
    <row r="23" spans="2:2" s="1065" customFormat="1" ht="72.599999999999994" customHeight="1" x14ac:dyDescent="0.3">
      <c r="B23" s="1047" t="s">
        <v>1185</v>
      </c>
    </row>
    <row r="24" spans="2:2" s="1065" customFormat="1" ht="84.6" customHeight="1" x14ac:dyDescent="0.3">
      <c r="B24" s="1047" t="s">
        <v>1186</v>
      </c>
    </row>
    <row r="25" spans="2:2" s="1065" customFormat="1" ht="78.599999999999994" customHeight="1" x14ac:dyDescent="0.3">
      <c r="B25" s="1047" t="s">
        <v>544</v>
      </c>
    </row>
    <row r="26" spans="2:2" ht="15" x14ac:dyDescent="0.3">
      <c r="B26" s="180" t="s">
        <v>1187</v>
      </c>
    </row>
    <row r="27" spans="2:2" ht="8.4" customHeight="1" x14ac:dyDescent="0.3">
      <c r="B27" s="179"/>
    </row>
    <row r="28" spans="2:2" ht="25.95" customHeight="1" x14ac:dyDescent="0.3">
      <c r="B28" s="190" t="s">
        <v>1188</v>
      </c>
    </row>
    <row r="29" spans="2:2" ht="28.8" customHeight="1" x14ac:dyDescent="0.3">
      <c r="B29" s="191" t="s">
        <v>1189</v>
      </c>
    </row>
    <row r="30" spans="2:2" ht="31.8" customHeight="1" x14ac:dyDescent="0.3">
      <c r="B30" s="191" t="s">
        <v>1190</v>
      </c>
    </row>
    <row r="31" spans="2:2" ht="30.6" customHeight="1" x14ac:dyDescent="0.3">
      <c r="B31" s="1055" t="s">
        <v>1191</v>
      </c>
    </row>
    <row r="32" spans="2:2" ht="25.2" customHeight="1" x14ac:dyDescent="0.3">
      <c r="B32" s="1055" t="s">
        <v>1192</v>
      </c>
    </row>
    <row r="33" spans="2:7" ht="27.6" customHeight="1" x14ac:dyDescent="0.3">
      <c r="B33" s="1056" t="s">
        <v>1193</v>
      </c>
    </row>
    <row r="34" spans="2:7" ht="31.8" customHeight="1" x14ac:dyDescent="0.3">
      <c r="B34" s="1057" t="s">
        <v>1194</v>
      </c>
    </row>
    <row r="35" spans="2:7" ht="60" customHeight="1" x14ac:dyDescent="0.3">
      <c r="B35" s="191" t="s">
        <v>1195</v>
      </c>
    </row>
    <row r="36" spans="2:7" ht="25.95" customHeight="1" x14ac:dyDescent="0.3">
      <c r="B36" s="191" t="s">
        <v>1196</v>
      </c>
    </row>
    <row r="37" spans="2:7" ht="12" customHeight="1" x14ac:dyDescent="0.3">
      <c r="B37" s="191"/>
    </row>
    <row r="38" spans="2:7" ht="25.95" customHeight="1" x14ac:dyDescent="0.3">
      <c r="B38" s="190" t="s">
        <v>679</v>
      </c>
    </row>
    <row r="39" spans="2:7" x14ac:dyDescent="0.3">
      <c r="B39" s="189"/>
      <c r="G39" s="1066"/>
    </row>
    <row r="40" spans="2:7" ht="43.2" customHeight="1" x14ac:dyDescent="0.3">
      <c r="B40" s="1058" t="s">
        <v>1197</v>
      </c>
    </row>
    <row r="41" spans="2:7" ht="19.95" customHeight="1" x14ac:dyDescent="0.3">
      <c r="B41" s="1059" t="s">
        <v>1183</v>
      </c>
    </row>
    <row r="42" spans="2:7" ht="11.4" customHeight="1" x14ac:dyDescent="0.3">
      <c r="B42" s="192"/>
    </row>
    <row r="43" spans="2:7" ht="15" x14ac:dyDescent="0.3">
      <c r="B43" s="193"/>
    </row>
    <row r="44" spans="2:7" ht="7.2" customHeight="1" x14ac:dyDescent="0.3">
      <c r="B44" s="191"/>
    </row>
    <row r="45" spans="2:7" ht="25.95" customHeight="1" x14ac:dyDescent="0.3">
      <c r="B45" s="190" t="s">
        <v>680</v>
      </c>
    </row>
    <row r="46" spans="2:7" ht="35.4" customHeight="1" x14ac:dyDescent="0.3">
      <c r="B46" s="1058" t="s">
        <v>1198</v>
      </c>
    </row>
    <row r="47" spans="2:7" ht="15" x14ac:dyDescent="0.3">
      <c r="B47" s="193"/>
    </row>
    <row r="58" ht="44.25" customHeight="1" x14ac:dyDescent="0.3"/>
  </sheetData>
  <sheetProtection algorithmName="SHA-512" hashValue="4gxsgqaHITaPCi/k7jkHIsjUF+RYGIbbcCY8dNE6xo4uLdxmB3n2TdqPsKr6XjfoIaq8wIqV8WpD1VarIZMi0A==" saltValue="hqMQxOo/LNR/sHnrnrlWwg==" spinCount="100000" sheet="1" formatCells="0" formatColumns="0" formatRows="0"/>
  <hyperlinks>
    <hyperlink ref="B17" r:id="rId1" xr:uid="{442EA7B8-8671-48B8-9832-A59EA493A048}"/>
    <hyperlink ref="B20" r:id="rId2" xr:uid="{8349C1A0-2399-4814-891C-B55441E45EB0}"/>
    <hyperlink ref="B41" r:id="rId3" xr:uid="{2B34EE1B-B326-46E7-AD71-2143ADA50151}"/>
    <hyperlink ref="B13" r:id="rId4" xr:uid="{8F07569A-78DA-42BA-A8CB-C208A6F82E5B}"/>
  </hyperlinks>
  <pageMargins left="0.7" right="0.7" top="0.75" bottom="0.75" header="0.3" footer="0.3"/>
  <pageSetup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550" customWidth="1"/>
    <col min="5" max="5" width="17.109375" style="18" customWidth="1"/>
    <col min="6" max="6" width="21.5546875" style="550" customWidth="1"/>
    <col min="7" max="7" width="26.6640625" style="643" customWidth="1"/>
    <col min="8" max="8" width="25.109375" style="455" customWidth="1"/>
    <col min="9" max="9" width="24" style="550"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82" hidden="1" customWidth="1"/>
    <col min="15" max="15" width="2.109375" style="18" hidden="1" customWidth="1"/>
    <col min="16" max="16" width="0" style="18" hidden="1" customWidth="1"/>
    <col min="17" max="17" width="15.109375" style="18" hidden="1" customWidth="1"/>
    <col min="18" max="25" width="9.109375" style="18"/>
    <col min="26" max="26" width="30.6640625" style="497" customWidth="1"/>
    <col min="27" max="1881" width="9.109375" style="18"/>
    <col min="1882" max="16384" width="9.109375" style="550"/>
  </cols>
  <sheetData>
    <row r="1" spans="1:44" ht="15" thickBot="1" x14ac:dyDescent="0.35">
      <c r="B1" s="645" t="s">
        <v>470</v>
      </c>
      <c r="C1" s="645"/>
      <c r="E1" s="553" t="s">
        <v>36</v>
      </c>
      <c r="F1" s="554">
        <v>2021</v>
      </c>
      <c r="G1" s="123" t="s">
        <v>126</v>
      </c>
      <c r="H1" s="555"/>
      <c r="I1" s="556"/>
      <c r="J1" s="557" t="s">
        <v>733</v>
      </c>
      <c r="M1" s="18" t="s">
        <v>51</v>
      </c>
      <c r="O1" s="18">
        <v>1</v>
      </c>
    </row>
    <row r="2" spans="1:44" ht="44.25" customHeight="1" thickBot="1" x14ac:dyDescent="0.35">
      <c r="B2" s="1073" t="s">
        <v>313</v>
      </c>
      <c r="C2" s="1074"/>
      <c r="D2" s="558" t="s">
        <v>998</v>
      </c>
      <c r="E2" s="1071" t="s">
        <v>327</v>
      </c>
      <c r="F2" s="1071"/>
      <c r="G2" s="1072"/>
      <c r="H2" s="1060" t="s">
        <v>1203</v>
      </c>
      <c r="M2" s="18" t="s">
        <v>52</v>
      </c>
      <c r="N2" s="282">
        <v>50</v>
      </c>
      <c r="O2" s="18">
        <v>2</v>
      </c>
    </row>
    <row r="3" spans="1:44" ht="15" thickBot="1" x14ac:dyDescent="0.35">
      <c r="B3" s="646" t="s">
        <v>0</v>
      </c>
      <c r="C3" s="647"/>
      <c r="D3" s="560" t="e">
        <f>VLOOKUP(D2,'Unit Names(H)'!A2:B151,2,FALSE)</f>
        <v>#N/A</v>
      </c>
      <c r="E3" s="750"/>
      <c r="F3" s="561"/>
      <c r="G3" s="562"/>
      <c r="H3" s="559"/>
      <c r="N3" s="282">
        <v>51</v>
      </c>
      <c r="O3" s="18">
        <v>3</v>
      </c>
    </row>
    <row r="4" spans="1:44" ht="15" thickBot="1" x14ac:dyDescent="0.35">
      <c r="B4" s="648" t="s">
        <v>838</v>
      </c>
      <c r="C4" s="649"/>
      <c r="D4" s="563"/>
      <c r="E4" s="563"/>
      <c r="F4" s="564"/>
      <c r="G4" s="565"/>
      <c r="H4" s="559"/>
      <c r="I4" s="2"/>
      <c r="M4" s="18" t="s">
        <v>360</v>
      </c>
      <c r="N4" s="282">
        <v>52</v>
      </c>
      <c r="O4" s="18">
        <v>4</v>
      </c>
    </row>
    <row r="5" spans="1:44" ht="37.5" customHeight="1" x14ac:dyDescent="0.3">
      <c r="A5" s="533" t="s">
        <v>467</v>
      </c>
      <c r="B5" s="422" t="s">
        <v>111</v>
      </c>
      <c r="C5" s="422" t="s">
        <v>128</v>
      </c>
      <c r="D5" s="566" t="s">
        <v>1</v>
      </c>
      <c r="E5" s="566">
        <v>2020</v>
      </c>
      <c r="F5" s="567">
        <v>2021</v>
      </c>
      <c r="G5" s="568" t="s">
        <v>959</v>
      </c>
      <c r="H5" s="569" t="s">
        <v>331</v>
      </c>
      <c r="I5" s="554" t="s">
        <v>13</v>
      </c>
      <c r="M5" s="18" t="s">
        <v>514</v>
      </c>
    </row>
    <row r="6" spans="1:44" ht="22.5" customHeight="1" x14ac:dyDescent="0.3">
      <c r="A6" s="421"/>
      <c r="B6" s="694" t="s">
        <v>127</v>
      </c>
      <c r="C6" s="695"/>
      <c r="D6" s="696"/>
      <c r="E6" s="697"/>
      <c r="F6" s="698"/>
      <c r="G6" s="690"/>
      <c r="H6" s="17"/>
      <c r="M6" s="18" t="s">
        <v>493</v>
      </c>
    </row>
    <row r="7" spans="1:44" s="18" customFormat="1" ht="63.75" customHeight="1" thickBot="1" x14ac:dyDescent="0.35">
      <c r="A7" s="108">
        <v>333</v>
      </c>
      <c r="B7" s="497" t="s">
        <v>67</v>
      </c>
      <c r="C7" s="497" t="s">
        <v>129</v>
      </c>
      <c r="D7" s="549" t="s">
        <v>839</v>
      </c>
      <c r="E7" s="531" t="e">
        <f>HLOOKUP($D$2,'2020 Data(H)'!$C$1:$CZ$426,99,FALSE)</f>
        <v>#N/A</v>
      </c>
      <c r="F7" s="281">
        <v>0</v>
      </c>
      <c r="G7" s="571">
        <f>IF(F7&lt;0,"Note: Number is normally positive.",)</f>
        <v>0</v>
      </c>
      <c r="H7" s="572"/>
      <c r="I7" s="573"/>
      <c r="J7" s="437" t="s">
        <v>712</v>
      </c>
      <c r="L7" s="543"/>
      <c r="M7" s="18" t="s">
        <v>515</v>
      </c>
      <c r="N7" s="282"/>
      <c r="Q7" s="281">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497" t="s">
        <v>55</v>
      </c>
      <c r="C8" s="497" t="s">
        <v>129</v>
      </c>
      <c r="D8" s="549" t="s">
        <v>840</v>
      </c>
      <c r="E8" s="531" t="e">
        <f>HLOOKUP($D$2,'2020 Data(H)'!$C$1:$CZ$426,150,FALSE)</f>
        <v>#N/A</v>
      </c>
      <c r="F8" s="281">
        <v>0</v>
      </c>
      <c r="G8" s="571">
        <f>IF(F8&lt;0,"Note: Number is normally positive.",)</f>
        <v>0</v>
      </c>
      <c r="H8" s="572"/>
      <c r="I8" s="572"/>
      <c r="J8" s="437"/>
      <c r="L8" s="545"/>
      <c r="M8" s="18" t="s">
        <v>516</v>
      </c>
      <c r="N8" s="282"/>
      <c r="Q8" s="281">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455" t="s">
        <v>60</v>
      </c>
      <c r="C9" s="497" t="s">
        <v>129</v>
      </c>
      <c r="D9" s="107" t="s">
        <v>130</v>
      </c>
      <c r="E9" s="531" t="e">
        <f>HLOOKUP($D$2,'2020 Data(H)'!$C$1:$CZ$426,144,FALSE)-E11</f>
        <v>#N/A</v>
      </c>
      <c r="F9" s="281">
        <v>0</v>
      </c>
      <c r="G9" s="571">
        <f>IF((F7+F8)&gt;F9,"Error: Please review Account numbers (333+500)&gt;385",)</f>
        <v>0</v>
      </c>
      <c r="H9" s="17"/>
      <c r="I9" s="572"/>
      <c r="J9" s="437"/>
      <c r="L9" s="545"/>
      <c r="Q9" s="281">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497" t="s">
        <v>70</v>
      </c>
      <c r="C10" s="497" t="s">
        <v>129</v>
      </c>
      <c r="D10" s="650" t="s">
        <v>841</v>
      </c>
      <c r="E10" s="531" t="e">
        <f>HLOOKUP($D$2,'2020 Data(H)'!$C$1:$CZ$426,225,FALSE)</f>
        <v>#N/A</v>
      </c>
      <c r="F10" s="281">
        <v>0</v>
      </c>
      <c r="G10" s="571">
        <f>IF(F10&lt;0,"Note: Number is normally positive.",)</f>
        <v>0</v>
      </c>
      <c r="H10" s="574"/>
      <c r="I10" s="575"/>
      <c r="L10" s="545"/>
      <c r="N10" s="282"/>
      <c r="Q10" s="281">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497" t="s">
        <v>70</v>
      </c>
      <c r="C11" s="497" t="s">
        <v>129</v>
      </c>
      <c r="D11" s="650" t="s">
        <v>842</v>
      </c>
      <c r="E11" s="531" t="e">
        <f>HLOOKUP($D$2,'2020 Data(H)'!$C$1:$CZ$426,226,FALSE)</f>
        <v>#N/A</v>
      </c>
      <c r="F11" s="281">
        <v>0</v>
      </c>
      <c r="G11" s="571">
        <f>IF(F11&lt;0,"Error: Enter as positive.",)</f>
        <v>0</v>
      </c>
      <c r="H11" s="574"/>
      <c r="I11" s="575"/>
      <c r="J11" s="437"/>
      <c r="L11" s="545"/>
      <c r="N11" s="282"/>
      <c r="Q11" s="281">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292">
        <v>626</v>
      </c>
      <c r="B12" s="651" t="s">
        <v>528</v>
      </c>
      <c r="C12" s="651" t="s">
        <v>129</v>
      </c>
      <c r="D12" s="322" t="s">
        <v>843</v>
      </c>
      <c r="E12" s="531" t="e">
        <f>HLOOKUP($D$2,'2020 Data(H)'!$C$1:$CZ$426,285,FALSE)-E11</f>
        <v>#N/A</v>
      </c>
      <c r="F12" s="281">
        <v>0</v>
      </c>
      <c r="G12" s="571">
        <f>IF(F12&lt;0,"Error: Enter as positive.",)</f>
        <v>0</v>
      </c>
      <c r="H12" s="576"/>
      <c r="I12" s="576"/>
      <c r="J12" s="437"/>
      <c r="L12" s="545"/>
      <c r="Q12" s="281">
        <v>136667</v>
      </c>
      <c r="Z12" s="292"/>
      <c r="AA12" s="292"/>
      <c r="AB12" s="292"/>
      <c r="AC12" s="292"/>
      <c r="AD12" s="292"/>
      <c r="AE12" s="292"/>
      <c r="AF12" s="292"/>
      <c r="AG12" s="292"/>
      <c r="AH12" s="292"/>
      <c r="AI12" s="292"/>
      <c r="AJ12" s="292"/>
      <c r="AK12" s="292"/>
      <c r="AL12" s="292"/>
      <c r="AM12" s="292"/>
      <c r="AN12" s="292"/>
      <c r="AO12" s="292"/>
      <c r="AP12" s="292"/>
      <c r="AQ12" s="292"/>
      <c r="AR12" s="292"/>
    </row>
    <row r="13" spans="1:44" ht="89.25" customHeight="1" thickBot="1" x14ac:dyDescent="0.35">
      <c r="A13" s="291">
        <v>627</v>
      </c>
      <c r="B13" s="652" t="s">
        <v>439</v>
      </c>
      <c r="C13" s="651" t="s">
        <v>129</v>
      </c>
      <c r="D13" s="322" t="s">
        <v>844</v>
      </c>
      <c r="E13" s="531" t="e">
        <f>HLOOKUP($D$2,'2020 Data(H)'!$C$1:$CZ$426,286,FALSE)</f>
        <v>#N/A</v>
      </c>
      <c r="F13" s="281">
        <v>0</v>
      </c>
      <c r="G13" s="571">
        <f>IF(F13&gt;F12,"Please review account numbers 627 &gt;626",)</f>
        <v>0</v>
      </c>
      <c r="H13" s="576"/>
      <c r="I13" s="576"/>
      <c r="J13" s="437"/>
      <c r="L13" s="545"/>
      <c r="Q13" s="281">
        <v>0</v>
      </c>
      <c r="Z13" s="291"/>
      <c r="AA13" s="291"/>
      <c r="AB13" s="291"/>
      <c r="AC13" s="291"/>
      <c r="AD13" s="291"/>
      <c r="AE13" s="291"/>
      <c r="AF13" s="291"/>
      <c r="AG13" s="291"/>
      <c r="AH13" s="291"/>
      <c r="AI13" s="291"/>
      <c r="AJ13" s="291"/>
      <c r="AK13" s="291"/>
      <c r="AL13" s="291"/>
      <c r="AM13" s="291"/>
      <c r="AN13" s="291"/>
      <c r="AO13" s="291"/>
      <c r="AP13" s="291"/>
      <c r="AQ13" s="291"/>
      <c r="AR13" s="291"/>
    </row>
    <row r="14" spans="1:44" ht="105" customHeight="1" thickBot="1" x14ac:dyDescent="0.35">
      <c r="A14" s="291">
        <v>628</v>
      </c>
      <c r="B14" s="652" t="s">
        <v>439</v>
      </c>
      <c r="C14" s="651" t="s">
        <v>129</v>
      </c>
      <c r="D14" s="322" t="s">
        <v>845</v>
      </c>
      <c r="E14" s="531" t="e">
        <f>HLOOKUP($D$2,'2020 Data(H)'!$C$1:$CZ$426,287,FALSE)</f>
        <v>#N/A</v>
      </c>
      <c r="F14" s="281">
        <v>0</v>
      </c>
      <c r="G14" s="571">
        <f>IF(F14&gt;F12,"Please review account numbers 628 &gt; 626",)</f>
        <v>0</v>
      </c>
      <c r="H14" s="576"/>
      <c r="I14" s="576"/>
      <c r="J14" s="437"/>
      <c r="L14" s="545"/>
      <c r="Q14" s="281">
        <v>56141</v>
      </c>
      <c r="Z14" s="291"/>
      <c r="AA14" s="291"/>
      <c r="AB14" s="291"/>
      <c r="AC14" s="291"/>
      <c r="AD14" s="291"/>
      <c r="AE14" s="291"/>
      <c r="AF14" s="291"/>
      <c r="AG14" s="291"/>
      <c r="AH14" s="291"/>
      <c r="AI14" s="291"/>
      <c r="AJ14" s="291"/>
      <c r="AK14" s="291"/>
      <c r="AL14" s="291"/>
      <c r="AM14" s="291"/>
      <c r="AN14" s="291"/>
      <c r="AO14" s="291"/>
      <c r="AP14" s="291"/>
      <c r="AQ14" s="291"/>
      <c r="AR14" s="291"/>
    </row>
    <row r="15" spans="1:44" ht="95.25" customHeight="1" thickBot="1" x14ac:dyDescent="0.35">
      <c r="A15" s="291">
        <v>629</v>
      </c>
      <c r="B15" s="652" t="s">
        <v>439</v>
      </c>
      <c r="C15" s="651" t="s">
        <v>129</v>
      </c>
      <c r="D15" s="322" t="s">
        <v>846</v>
      </c>
      <c r="E15" s="531" t="e">
        <f>HLOOKUP($D$2,'2020 Data(H)'!$C$1:$CZ$426,288,FALSE)</f>
        <v>#N/A</v>
      </c>
      <c r="F15" s="281">
        <v>0</v>
      </c>
      <c r="G15" s="571">
        <f>IF(F15&gt;F12,"Please review account numbers 629 &gt; 626",)</f>
        <v>0</v>
      </c>
      <c r="H15" s="576"/>
      <c r="I15" s="576"/>
      <c r="J15" s="437"/>
      <c r="L15" s="545"/>
      <c r="Q15" s="281">
        <v>0</v>
      </c>
      <c r="Z15" s="291"/>
      <c r="AA15" s="291"/>
      <c r="AB15" s="291"/>
      <c r="AC15" s="291"/>
      <c r="AD15" s="291"/>
      <c r="AE15" s="291"/>
      <c r="AF15" s="291"/>
      <c r="AG15" s="291"/>
      <c r="AH15" s="291"/>
      <c r="AI15" s="291"/>
      <c r="AJ15" s="291"/>
      <c r="AK15" s="291"/>
      <c r="AL15" s="291"/>
      <c r="AM15" s="291"/>
      <c r="AN15" s="291"/>
      <c r="AO15" s="291"/>
      <c r="AP15" s="291"/>
      <c r="AQ15" s="291"/>
      <c r="AR15" s="291"/>
    </row>
    <row r="16" spans="1:44" ht="69" customHeight="1" thickBot="1" x14ac:dyDescent="0.35">
      <c r="A16" s="291">
        <v>630</v>
      </c>
      <c r="B16" s="652" t="s">
        <v>439</v>
      </c>
      <c r="C16" s="651" t="s">
        <v>129</v>
      </c>
      <c r="D16" s="322" t="s">
        <v>509</v>
      </c>
      <c r="E16" s="531" t="e">
        <f>HLOOKUP($D$2,'2020 Data(H)'!$C$1:$CZ$426,289,FALSE)</f>
        <v>#N/A</v>
      </c>
      <c r="F16" s="281">
        <v>0</v>
      </c>
      <c r="G16" s="571">
        <f>IF(F16&gt;F12,"Please review account numbers 630 &gt; 626",)</f>
        <v>0</v>
      </c>
      <c r="H16" s="576"/>
      <c r="I16" s="576"/>
      <c r="J16" s="437"/>
      <c r="L16" s="545"/>
      <c r="Q16" s="281">
        <v>0</v>
      </c>
      <c r="Z16" s="291"/>
      <c r="AA16" s="291"/>
      <c r="AB16" s="291"/>
      <c r="AC16" s="291"/>
      <c r="AD16" s="291"/>
      <c r="AE16" s="291"/>
      <c r="AF16" s="291"/>
      <c r="AG16" s="291"/>
      <c r="AH16" s="291"/>
      <c r="AI16" s="291"/>
      <c r="AJ16" s="291"/>
      <c r="AK16" s="291"/>
      <c r="AL16" s="291"/>
      <c r="AM16" s="291"/>
      <c r="AN16" s="291"/>
      <c r="AO16" s="291"/>
      <c r="AP16" s="291"/>
      <c r="AQ16" s="291"/>
      <c r="AR16" s="291"/>
    </row>
    <row r="17" spans="1:1881" s="939" customFormat="1" ht="95.25" customHeight="1" thickBot="1" x14ac:dyDescent="0.35">
      <c r="A17" s="938">
        <v>631</v>
      </c>
      <c r="B17" s="652" t="s">
        <v>439</v>
      </c>
      <c r="C17" s="651" t="s">
        <v>129</v>
      </c>
      <c r="D17" s="932" t="s">
        <v>847</v>
      </c>
      <c r="E17" s="933" t="e">
        <f>HLOOKUP($D$2,'2020 Data(H)'!$C$1:$CZ$426,290,FALSE)</f>
        <v>#N/A</v>
      </c>
      <c r="F17" s="934">
        <v>0</v>
      </c>
      <c r="G17" s="571">
        <f>IF(F17&gt;F12,"Please review account numbers 631 &gt; 626",)</f>
        <v>0</v>
      </c>
      <c r="H17" s="576"/>
      <c r="I17" s="576"/>
      <c r="J17" s="935"/>
      <c r="K17" s="936"/>
      <c r="L17" s="545"/>
      <c r="M17" s="936"/>
      <c r="N17" s="937"/>
      <c r="O17" s="936"/>
      <c r="P17" s="936"/>
      <c r="Q17" s="934">
        <v>0</v>
      </c>
      <c r="R17" s="936"/>
      <c r="S17" s="936"/>
      <c r="T17" s="936"/>
      <c r="U17" s="936"/>
      <c r="V17" s="936"/>
      <c r="W17" s="936"/>
      <c r="X17" s="936"/>
      <c r="Y17" s="936"/>
      <c r="Z17" s="938"/>
      <c r="AA17" s="938"/>
      <c r="AB17" s="938"/>
      <c r="AC17" s="938"/>
      <c r="AD17" s="938"/>
      <c r="AE17" s="938"/>
      <c r="AF17" s="938"/>
      <c r="AG17" s="938"/>
      <c r="AH17" s="938"/>
      <c r="AI17" s="938"/>
      <c r="AJ17" s="938"/>
      <c r="AK17" s="938"/>
      <c r="AL17" s="938"/>
      <c r="AM17" s="938"/>
      <c r="AN17" s="938"/>
      <c r="AO17" s="938"/>
      <c r="AP17" s="938"/>
      <c r="AQ17" s="938"/>
      <c r="AR17" s="938"/>
      <c r="AS17" s="936"/>
      <c r="AT17" s="936"/>
      <c r="AU17" s="936"/>
      <c r="AV17" s="936"/>
      <c r="AW17" s="936"/>
      <c r="AX17" s="936"/>
      <c r="AY17" s="936"/>
      <c r="AZ17" s="936"/>
      <c r="BA17" s="936"/>
      <c r="BB17" s="936"/>
      <c r="BC17" s="936"/>
      <c r="BD17" s="936"/>
      <c r="BE17" s="936"/>
      <c r="BF17" s="936"/>
      <c r="BG17" s="936"/>
      <c r="BH17" s="936"/>
      <c r="BI17" s="936"/>
      <c r="BJ17" s="936"/>
      <c r="BK17" s="936"/>
      <c r="BL17" s="936"/>
      <c r="BM17" s="936"/>
      <c r="BN17" s="936"/>
      <c r="BO17" s="936"/>
      <c r="BP17" s="936"/>
      <c r="BQ17" s="936"/>
      <c r="BR17" s="936"/>
      <c r="BS17" s="936"/>
      <c r="BT17" s="936"/>
      <c r="BU17" s="936"/>
      <c r="BV17" s="936"/>
      <c r="BW17" s="936"/>
      <c r="BX17" s="936"/>
      <c r="BY17" s="936"/>
      <c r="BZ17" s="936"/>
      <c r="CA17" s="936"/>
      <c r="CB17" s="936"/>
      <c r="CC17" s="936"/>
      <c r="CD17" s="936"/>
      <c r="CE17" s="936"/>
      <c r="CF17" s="936"/>
      <c r="CG17" s="936"/>
      <c r="CH17" s="936"/>
      <c r="CI17" s="936"/>
      <c r="CJ17" s="936"/>
      <c r="CK17" s="936"/>
      <c r="CL17" s="936"/>
      <c r="CM17" s="936"/>
      <c r="CN17" s="936"/>
      <c r="CO17" s="936"/>
      <c r="CP17" s="936"/>
      <c r="CQ17" s="936"/>
      <c r="CR17" s="936"/>
      <c r="CS17" s="936"/>
      <c r="CT17" s="936"/>
      <c r="CU17" s="936"/>
      <c r="CV17" s="936"/>
      <c r="CW17" s="936"/>
      <c r="CX17" s="936"/>
      <c r="CY17" s="936"/>
      <c r="CZ17" s="936"/>
      <c r="DA17" s="936"/>
      <c r="DB17" s="936"/>
      <c r="DC17" s="936"/>
      <c r="DD17" s="936"/>
      <c r="DE17" s="936"/>
      <c r="DF17" s="936"/>
      <c r="DG17" s="936"/>
      <c r="DH17" s="936"/>
      <c r="DI17" s="936"/>
      <c r="DJ17" s="936"/>
      <c r="DK17" s="936"/>
      <c r="DL17" s="936"/>
      <c r="DM17" s="936"/>
      <c r="DN17" s="936"/>
      <c r="DO17" s="936"/>
      <c r="DP17" s="936"/>
      <c r="DQ17" s="936"/>
      <c r="DR17" s="936"/>
      <c r="DS17" s="936"/>
      <c r="DT17" s="936"/>
      <c r="DU17" s="936"/>
      <c r="DV17" s="936"/>
      <c r="DW17" s="936"/>
      <c r="DX17" s="936"/>
      <c r="DY17" s="936"/>
      <c r="DZ17" s="936"/>
      <c r="EA17" s="936"/>
      <c r="EB17" s="936"/>
      <c r="EC17" s="936"/>
      <c r="ED17" s="936"/>
      <c r="EE17" s="936"/>
      <c r="EF17" s="936"/>
      <c r="EG17" s="936"/>
      <c r="EH17" s="936"/>
      <c r="EI17" s="936"/>
      <c r="EJ17" s="936"/>
      <c r="EK17" s="936"/>
      <c r="EL17" s="936"/>
      <c r="EM17" s="936"/>
      <c r="EN17" s="936"/>
      <c r="EO17" s="936"/>
      <c r="EP17" s="936"/>
      <c r="EQ17" s="936"/>
      <c r="ER17" s="936"/>
      <c r="ES17" s="936"/>
      <c r="ET17" s="936"/>
      <c r="EU17" s="936"/>
      <c r="EV17" s="936"/>
      <c r="EW17" s="936"/>
      <c r="EX17" s="936"/>
      <c r="EY17" s="936"/>
      <c r="EZ17" s="936"/>
      <c r="FA17" s="936"/>
      <c r="FB17" s="936"/>
      <c r="FC17" s="936"/>
      <c r="FD17" s="936"/>
      <c r="FE17" s="936"/>
      <c r="FF17" s="936"/>
      <c r="FG17" s="936"/>
      <c r="FH17" s="936"/>
      <c r="FI17" s="936"/>
      <c r="FJ17" s="936"/>
      <c r="FK17" s="936"/>
      <c r="FL17" s="936"/>
      <c r="FM17" s="936"/>
      <c r="FN17" s="936"/>
      <c r="FO17" s="936"/>
      <c r="FP17" s="936"/>
      <c r="FQ17" s="936"/>
      <c r="FR17" s="936"/>
      <c r="FS17" s="936"/>
      <c r="FT17" s="936"/>
      <c r="FU17" s="936"/>
      <c r="FV17" s="936"/>
      <c r="FW17" s="936"/>
      <c r="FX17" s="936"/>
      <c r="FY17" s="936"/>
      <c r="FZ17" s="936"/>
      <c r="GA17" s="936"/>
      <c r="GB17" s="936"/>
      <c r="GC17" s="936"/>
      <c r="GD17" s="936"/>
      <c r="GE17" s="936"/>
      <c r="GF17" s="936"/>
      <c r="GG17" s="936"/>
      <c r="GH17" s="936"/>
      <c r="GI17" s="936"/>
      <c r="GJ17" s="936"/>
      <c r="GK17" s="936"/>
      <c r="GL17" s="936"/>
      <c r="GM17" s="936"/>
      <c r="GN17" s="936"/>
      <c r="GO17" s="936"/>
      <c r="GP17" s="936"/>
      <c r="GQ17" s="936"/>
      <c r="GR17" s="936"/>
      <c r="GS17" s="936"/>
      <c r="GT17" s="936"/>
      <c r="GU17" s="936"/>
      <c r="GV17" s="936"/>
      <c r="GW17" s="936"/>
      <c r="GX17" s="936"/>
      <c r="GY17" s="936"/>
      <c r="GZ17" s="936"/>
      <c r="HA17" s="936"/>
      <c r="HB17" s="936"/>
      <c r="HC17" s="936"/>
      <c r="HD17" s="936"/>
      <c r="HE17" s="936"/>
      <c r="HF17" s="936"/>
      <c r="HG17" s="936"/>
      <c r="HH17" s="936"/>
      <c r="HI17" s="936"/>
      <c r="HJ17" s="936"/>
      <c r="HK17" s="936"/>
      <c r="HL17" s="936"/>
      <c r="HM17" s="936"/>
      <c r="HN17" s="936"/>
      <c r="HO17" s="936"/>
      <c r="HP17" s="936"/>
      <c r="HQ17" s="936"/>
      <c r="HR17" s="936"/>
      <c r="HS17" s="936"/>
      <c r="HT17" s="936"/>
      <c r="HU17" s="936"/>
      <c r="HV17" s="936"/>
      <c r="HW17" s="936"/>
      <c r="HX17" s="936"/>
      <c r="HY17" s="936"/>
      <c r="HZ17" s="936"/>
      <c r="IA17" s="936"/>
      <c r="IB17" s="936"/>
      <c r="IC17" s="936"/>
      <c r="ID17" s="936"/>
      <c r="IE17" s="936"/>
      <c r="IF17" s="936"/>
      <c r="IG17" s="936"/>
      <c r="IH17" s="936"/>
      <c r="II17" s="936"/>
      <c r="IJ17" s="936"/>
      <c r="IK17" s="936"/>
      <c r="IL17" s="936"/>
      <c r="IM17" s="936"/>
      <c r="IN17" s="936"/>
      <c r="IO17" s="936"/>
      <c r="IP17" s="936"/>
      <c r="IQ17" s="936"/>
      <c r="IR17" s="936"/>
      <c r="IS17" s="936"/>
      <c r="IT17" s="936"/>
      <c r="IU17" s="936"/>
      <c r="IV17" s="936"/>
      <c r="IW17" s="936"/>
      <c r="IX17" s="936"/>
      <c r="IY17" s="936"/>
      <c r="IZ17" s="936"/>
      <c r="JA17" s="936"/>
      <c r="JB17" s="936"/>
      <c r="JC17" s="936"/>
      <c r="JD17" s="936"/>
      <c r="JE17" s="936"/>
      <c r="JF17" s="936"/>
      <c r="JG17" s="936"/>
      <c r="JH17" s="936"/>
      <c r="JI17" s="936"/>
      <c r="JJ17" s="936"/>
      <c r="JK17" s="936"/>
      <c r="JL17" s="936"/>
      <c r="JM17" s="936"/>
      <c r="JN17" s="936"/>
      <c r="JO17" s="936"/>
      <c r="JP17" s="936"/>
      <c r="JQ17" s="936"/>
      <c r="JR17" s="936"/>
      <c r="JS17" s="936"/>
      <c r="JT17" s="936"/>
      <c r="JU17" s="936"/>
      <c r="JV17" s="936"/>
      <c r="JW17" s="936"/>
      <c r="JX17" s="936"/>
      <c r="JY17" s="936"/>
      <c r="JZ17" s="936"/>
      <c r="KA17" s="936"/>
      <c r="KB17" s="936"/>
      <c r="KC17" s="936"/>
      <c r="KD17" s="936"/>
      <c r="KE17" s="936"/>
      <c r="KF17" s="936"/>
      <c r="KG17" s="936"/>
      <c r="KH17" s="936"/>
      <c r="KI17" s="936"/>
      <c r="KJ17" s="936"/>
      <c r="KK17" s="936"/>
      <c r="KL17" s="936"/>
      <c r="KM17" s="936"/>
      <c r="KN17" s="936"/>
      <c r="KO17" s="936"/>
      <c r="KP17" s="936"/>
      <c r="KQ17" s="936"/>
      <c r="KR17" s="936"/>
      <c r="KS17" s="936"/>
      <c r="KT17" s="936"/>
      <c r="KU17" s="936"/>
      <c r="KV17" s="936"/>
      <c r="KW17" s="936"/>
      <c r="KX17" s="936"/>
      <c r="KY17" s="936"/>
      <c r="KZ17" s="936"/>
      <c r="LA17" s="936"/>
      <c r="LB17" s="936"/>
      <c r="LC17" s="936"/>
      <c r="LD17" s="936"/>
      <c r="LE17" s="936"/>
      <c r="LF17" s="936"/>
      <c r="LG17" s="936"/>
      <c r="LH17" s="936"/>
      <c r="LI17" s="936"/>
      <c r="LJ17" s="936"/>
      <c r="LK17" s="936"/>
      <c r="LL17" s="936"/>
      <c r="LM17" s="936"/>
      <c r="LN17" s="936"/>
      <c r="LO17" s="936"/>
      <c r="LP17" s="936"/>
      <c r="LQ17" s="936"/>
      <c r="LR17" s="936"/>
      <c r="LS17" s="936"/>
      <c r="LT17" s="936"/>
      <c r="LU17" s="936"/>
      <c r="LV17" s="936"/>
      <c r="LW17" s="936"/>
      <c r="LX17" s="936"/>
      <c r="LY17" s="936"/>
      <c r="LZ17" s="936"/>
      <c r="MA17" s="936"/>
      <c r="MB17" s="936"/>
      <c r="MC17" s="936"/>
      <c r="MD17" s="936"/>
      <c r="ME17" s="936"/>
      <c r="MF17" s="936"/>
      <c r="MG17" s="936"/>
      <c r="MH17" s="936"/>
      <c r="MI17" s="936"/>
      <c r="MJ17" s="936"/>
      <c r="MK17" s="936"/>
      <c r="ML17" s="936"/>
      <c r="MM17" s="936"/>
      <c r="MN17" s="936"/>
      <c r="MO17" s="936"/>
      <c r="MP17" s="936"/>
      <c r="MQ17" s="936"/>
      <c r="MR17" s="936"/>
      <c r="MS17" s="936"/>
      <c r="MT17" s="936"/>
      <c r="MU17" s="936"/>
      <c r="MV17" s="936"/>
      <c r="MW17" s="936"/>
      <c r="MX17" s="936"/>
      <c r="MY17" s="936"/>
      <c r="MZ17" s="936"/>
      <c r="NA17" s="936"/>
      <c r="NB17" s="936"/>
      <c r="NC17" s="936"/>
      <c r="ND17" s="936"/>
      <c r="NE17" s="936"/>
      <c r="NF17" s="936"/>
      <c r="NG17" s="936"/>
      <c r="NH17" s="936"/>
      <c r="NI17" s="936"/>
      <c r="NJ17" s="936"/>
      <c r="NK17" s="936"/>
      <c r="NL17" s="936"/>
      <c r="NM17" s="936"/>
      <c r="NN17" s="936"/>
      <c r="NO17" s="936"/>
      <c r="NP17" s="936"/>
      <c r="NQ17" s="936"/>
      <c r="NR17" s="936"/>
      <c r="NS17" s="936"/>
      <c r="NT17" s="936"/>
      <c r="NU17" s="936"/>
      <c r="NV17" s="936"/>
      <c r="NW17" s="936"/>
      <c r="NX17" s="936"/>
      <c r="NY17" s="936"/>
      <c r="NZ17" s="936"/>
      <c r="OA17" s="936"/>
      <c r="OB17" s="936"/>
      <c r="OC17" s="936"/>
      <c r="OD17" s="936"/>
      <c r="OE17" s="936"/>
      <c r="OF17" s="936"/>
      <c r="OG17" s="936"/>
      <c r="OH17" s="936"/>
      <c r="OI17" s="936"/>
      <c r="OJ17" s="936"/>
      <c r="OK17" s="936"/>
      <c r="OL17" s="936"/>
      <c r="OM17" s="936"/>
      <c r="ON17" s="936"/>
      <c r="OO17" s="936"/>
      <c r="OP17" s="936"/>
      <c r="OQ17" s="936"/>
      <c r="OR17" s="936"/>
      <c r="OS17" s="936"/>
      <c r="OT17" s="936"/>
      <c r="OU17" s="936"/>
      <c r="OV17" s="936"/>
      <c r="OW17" s="936"/>
      <c r="OX17" s="936"/>
      <c r="OY17" s="936"/>
      <c r="OZ17" s="936"/>
      <c r="PA17" s="936"/>
      <c r="PB17" s="936"/>
      <c r="PC17" s="936"/>
      <c r="PD17" s="936"/>
      <c r="PE17" s="936"/>
      <c r="PF17" s="936"/>
      <c r="PG17" s="936"/>
      <c r="PH17" s="936"/>
      <c r="PI17" s="936"/>
      <c r="PJ17" s="936"/>
      <c r="PK17" s="936"/>
      <c r="PL17" s="936"/>
      <c r="PM17" s="936"/>
      <c r="PN17" s="936"/>
      <c r="PO17" s="936"/>
      <c r="PP17" s="936"/>
      <c r="PQ17" s="936"/>
      <c r="PR17" s="936"/>
      <c r="PS17" s="936"/>
      <c r="PT17" s="936"/>
      <c r="PU17" s="936"/>
      <c r="PV17" s="936"/>
      <c r="PW17" s="936"/>
      <c r="PX17" s="936"/>
      <c r="PY17" s="936"/>
      <c r="PZ17" s="936"/>
      <c r="QA17" s="936"/>
      <c r="QB17" s="936"/>
      <c r="QC17" s="936"/>
      <c r="QD17" s="936"/>
      <c r="QE17" s="936"/>
      <c r="QF17" s="936"/>
      <c r="QG17" s="936"/>
      <c r="QH17" s="936"/>
      <c r="QI17" s="936"/>
      <c r="QJ17" s="936"/>
      <c r="QK17" s="936"/>
      <c r="QL17" s="936"/>
      <c r="QM17" s="936"/>
      <c r="QN17" s="936"/>
      <c r="QO17" s="936"/>
      <c r="QP17" s="936"/>
      <c r="QQ17" s="936"/>
      <c r="QR17" s="936"/>
      <c r="QS17" s="936"/>
      <c r="QT17" s="936"/>
      <c r="QU17" s="936"/>
      <c r="QV17" s="936"/>
      <c r="QW17" s="936"/>
      <c r="QX17" s="936"/>
      <c r="QY17" s="936"/>
      <c r="QZ17" s="936"/>
      <c r="RA17" s="936"/>
      <c r="RB17" s="936"/>
      <c r="RC17" s="936"/>
      <c r="RD17" s="936"/>
      <c r="RE17" s="936"/>
      <c r="RF17" s="936"/>
      <c r="RG17" s="936"/>
      <c r="RH17" s="936"/>
      <c r="RI17" s="936"/>
      <c r="RJ17" s="936"/>
      <c r="RK17" s="936"/>
      <c r="RL17" s="936"/>
      <c r="RM17" s="936"/>
      <c r="RN17" s="936"/>
      <c r="RO17" s="936"/>
      <c r="RP17" s="936"/>
      <c r="RQ17" s="936"/>
      <c r="RR17" s="936"/>
      <c r="RS17" s="936"/>
      <c r="RT17" s="936"/>
      <c r="RU17" s="936"/>
      <c r="RV17" s="936"/>
      <c r="RW17" s="936"/>
      <c r="RX17" s="936"/>
      <c r="RY17" s="936"/>
      <c r="RZ17" s="936"/>
      <c r="SA17" s="936"/>
      <c r="SB17" s="936"/>
      <c r="SC17" s="936"/>
      <c r="SD17" s="936"/>
      <c r="SE17" s="936"/>
      <c r="SF17" s="936"/>
      <c r="SG17" s="936"/>
      <c r="SH17" s="936"/>
      <c r="SI17" s="936"/>
      <c r="SJ17" s="936"/>
      <c r="SK17" s="936"/>
      <c r="SL17" s="936"/>
      <c r="SM17" s="936"/>
      <c r="SN17" s="936"/>
      <c r="SO17" s="936"/>
      <c r="SP17" s="936"/>
      <c r="SQ17" s="936"/>
      <c r="SR17" s="936"/>
      <c r="SS17" s="936"/>
      <c r="ST17" s="936"/>
      <c r="SU17" s="936"/>
      <c r="SV17" s="936"/>
      <c r="SW17" s="936"/>
      <c r="SX17" s="936"/>
      <c r="SY17" s="936"/>
      <c r="SZ17" s="936"/>
      <c r="TA17" s="936"/>
      <c r="TB17" s="936"/>
      <c r="TC17" s="936"/>
      <c r="TD17" s="936"/>
      <c r="TE17" s="936"/>
      <c r="TF17" s="936"/>
      <c r="TG17" s="936"/>
      <c r="TH17" s="936"/>
      <c r="TI17" s="936"/>
      <c r="TJ17" s="936"/>
      <c r="TK17" s="936"/>
      <c r="TL17" s="936"/>
      <c r="TM17" s="936"/>
      <c r="TN17" s="936"/>
      <c r="TO17" s="936"/>
      <c r="TP17" s="936"/>
      <c r="TQ17" s="936"/>
      <c r="TR17" s="936"/>
      <c r="TS17" s="936"/>
      <c r="TT17" s="936"/>
      <c r="TU17" s="936"/>
      <c r="TV17" s="936"/>
      <c r="TW17" s="936"/>
      <c r="TX17" s="936"/>
      <c r="TY17" s="936"/>
      <c r="TZ17" s="936"/>
      <c r="UA17" s="936"/>
      <c r="UB17" s="936"/>
      <c r="UC17" s="936"/>
      <c r="UD17" s="936"/>
      <c r="UE17" s="936"/>
      <c r="UF17" s="936"/>
      <c r="UG17" s="936"/>
      <c r="UH17" s="936"/>
      <c r="UI17" s="936"/>
      <c r="UJ17" s="936"/>
      <c r="UK17" s="936"/>
      <c r="UL17" s="936"/>
      <c r="UM17" s="936"/>
      <c r="UN17" s="936"/>
      <c r="UO17" s="936"/>
      <c r="UP17" s="936"/>
      <c r="UQ17" s="936"/>
      <c r="UR17" s="936"/>
      <c r="US17" s="936"/>
      <c r="UT17" s="936"/>
      <c r="UU17" s="936"/>
      <c r="UV17" s="936"/>
      <c r="UW17" s="936"/>
      <c r="UX17" s="936"/>
      <c r="UY17" s="936"/>
      <c r="UZ17" s="936"/>
      <c r="VA17" s="936"/>
      <c r="VB17" s="936"/>
      <c r="VC17" s="936"/>
      <c r="VD17" s="936"/>
      <c r="VE17" s="936"/>
      <c r="VF17" s="936"/>
      <c r="VG17" s="936"/>
      <c r="VH17" s="936"/>
      <c r="VI17" s="936"/>
      <c r="VJ17" s="936"/>
      <c r="VK17" s="936"/>
      <c r="VL17" s="936"/>
      <c r="VM17" s="936"/>
      <c r="VN17" s="936"/>
      <c r="VO17" s="936"/>
      <c r="VP17" s="936"/>
      <c r="VQ17" s="936"/>
      <c r="VR17" s="936"/>
      <c r="VS17" s="936"/>
      <c r="VT17" s="936"/>
      <c r="VU17" s="936"/>
      <c r="VV17" s="936"/>
      <c r="VW17" s="936"/>
      <c r="VX17" s="936"/>
      <c r="VY17" s="936"/>
      <c r="VZ17" s="936"/>
      <c r="WA17" s="936"/>
      <c r="WB17" s="936"/>
      <c r="WC17" s="936"/>
      <c r="WD17" s="936"/>
      <c r="WE17" s="936"/>
      <c r="WF17" s="936"/>
      <c r="WG17" s="936"/>
      <c r="WH17" s="936"/>
      <c r="WI17" s="936"/>
      <c r="WJ17" s="936"/>
      <c r="WK17" s="936"/>
      <c r="WL17" s="936"/>
      <c r="WM17" s="936"/>
      <c r="WN17" s="936"/>
      <c r="WO17" s="936"/>
      <c r="WP17" s="936"/>
      <c r="WQ17" s="936"/>
      <c r="WR17" s="936"/>
      <c r="WS17" s="936"/>
      <c r="WT17" s="936"/>
      <c r="WU17" s="936"/>
      <c r="WV17" s="936"/>
      <c r="WW17" s="936"/>
      <c r="WX17" s="936"/>
      <c r="WY17" s="936"/>
      <c r="WZ17" s="936"/>
      <c r="XA17" s="936"/>
      <c r="XB17" s="936"/>
      <c r="XC17" s="936"/>
      <c r="XD17" s="936"/>
      <c r="XE17" s="936"/>
      <c r="XF17" s="936"/>
      <c r="XG17" s="936"/>
      <c r="XH17" s="936"/>
      <c r="XI17" s="936"/>
      <c r="XJ17" s="936"/>
      <c r="XK17" s="936"/>
      <c r="XL17" s="936"/>
      <c r="XM17" s="936"/>
      <c r="XN17" s="936"/>
      <c r="XO17" s="936"/>
      <c r="XP17" s="936"/>
      <c r="XQ17" s="936"/>
      <c r="XR17" s="936"/>
      <c r="XS17" s="936"/>
      <c r="XT17" s="936"/>
      <c r="XU17" s="936"/>
      <c r="XV17" s="936"/>
      <c r="XW17" s="936"/>
      <c r="XX17" s="936"/>
      <c r="XY17" s="936"/>
      <c r="XZ17" s="936"/>
      <c r="YA17" s="936"/>
      <c r="YB17" s="936"/>
      <c r="YC17" s="936"/>
      <c r="YD17" s="936"/>
      <c r="YE17" s="936"/>
      <c r="YF17" s="936"/>
      <c r="YG17" s="936"/>
      <c r="YH17" s="936"/>
      <c r="YI17" s="936"/>
      <c r="YJ17" s="936"/>
      <c r="YK17" s="936"/>
      <c r="YL17" s="936"/>
      <c r="YM17" s="936"/>
      <c r="YN17" s="936"/>
      <c r="YO17" s="936"/>
      <c r="YP17" s="936"/>
      <c r="YQ17" s="936"/>
      <c r="YR17" s="936"/>
      <c r="YS17" s="936"/>
      <c r="YT17" s="936"/>
      <c r="YU17" s="936"/>
      <c r="YV17" s="936"/>
      <c r="YW17" s="936"/>
      <c r="YX17" s="936"/>
      <c r="YY17" s="936"/>
      <c r="YZ17" s="936"/>
      <c r="ZA17" s="936"/>
      <c r="ZB17" s="936"/>
      <c r="ZC17" s="936"/>
      <c r="ZD17" s="936"/>
      <c r="ZE17" s="936"/>
      <c r="ZF17" s="936"/>
      <c r="ZG17" s="936"/>
      <c r="ZH17" s="936"/>
      <c r="ZI17" s="936"/>
      <c r="ZJ17" s="936"/>
      <c r="ZK17" s="936"/>
      <c r="ZL17" s="936"/>
      <c r="ZM17" s="936"/>
      <c r="ZN17" s="936"/>
      <c r="ZO17" s="936"/>
      <c r="ZP17" s="936"/>
      <c r="ZQ17" s="936"/>
      <c r="ZR17" s="936"/>
      <c r="ZS17" s="936"/>
      <c r="ZT17" s="936"/>
      <c r="ZU17" s="936"/>
      <c r="ZV17" s="936"/>
      <c r="ZW17" s="936"/>
      <c r="ZX17" s="936"/>
      <c r="ZY17" s="936"/>
      <c r="ZZ17" s="936"/>
      <c r="AAA17" s="936"/>
      <c r="AAB17" s="936"/>
      <c r="AAC17" s="936"/>
      <c r="AAD17" s="936"/>
      <c r="AAE17" s="936"/>
      <c r="AAF17" s="936"/>
      <c r="AAG17" s="936"/>
      <c r="AAH17" s="936"/>
      <c r="AAI17" s="936"/>
      <c r="AAJ17" s="936"/>
      <c r="AAK17" s="936"/>
      <c r="AAL17" s="936"/>
      <c r="AAM17" s="936"/>
      <c r="AAN17" s="936"/>
      <c r="AAO17" s="936"/>
      <c r="AAP17" s="936"/>
      <c r="AAQ17" s="936"/>
      <c r="AAR17" s="936"/>
      <c r="AAS17" s="936"/>
      <c r="AAT17" s="936"/>
      <c r="AAU17" s="936"/>
      <c r="AAV17" s="936"/>
      <c r="AAW17" s="936"/>
      <c r="AAX17" s="936"/>
      <c r="AAY17" s="936"/>
      <c r="AAZ17" s="936"/>
      <c r="ABA17" s="936"/>
      <c r="ABB17" s="936"/>
      <c r="ABC17" s="936"/>
      <c r="ABD17" s="936"/>
      <c r="ABE17" s="936"/>
      <c r="ABF17" s="936"/>
      <c r="ABG17" s="936"/>
      <c r="ABH17" s="936"/>
      <c r="ABI17" s="936"/>
      <c r="ABJ17" s="936"/>
      <c r="ABK17" s="936"/>
      <c r="ABL17" s="936"/>
      <c r="ABM17" s="936"/>
      <c r="ABN17" s="936"/>
      <c r="ABO17" s="936"/>
      <c r="ABP17" s="936"/>
      <c r="ABQ17" s="936"/>
      <c r="ABR17" s="936"/>
      <c r="ABS17" s="936"/>
      <c r="ABT17" s="936"/>
      <c r="ABU17" s="936"/>
      <c r="ABV17" s="936"/>
      <c r="ABW17" s="936"/>
      <c r="ABX17" s="936"/>
      <c r="ABY17" s="936"/>
      <c r="ABZ17" s="936"/>
      <c r="ACA17" s="936"/>
      <c r="ACB17" s="936"/>
      <c r="ACC17" s="936"/>
      <c r="ACD17" s="936"/>
      <c r="ACE17" s="936"/>
      <c r="ACF17" s="936"/>
      <c r="ACG17" s="936"/>
      <c r="ACH17" s="936"/>
      <c r="ACI17" s="936"/>
      <c r="ACJ17" s="936"/>
      <c r="ACK17" s="936"/>
      <c r="ACL17" s="936"/>
      <c r="ACM17" s="936"/>
      <c r="ACN17" s="936"/>
      <c r="ACO17" s="936"/>
      <c r="ACP17" s="936"/>
      <c r="ACQ17" s="936"/>
      <c r="ACR17" s="936"/>
      <c r="ACS17" s="936"/>
      <c r="ACT17" s="936"/>
      <c r="ACU17" s="936"/>
      <c r="ACV17" s="936"/>
      <c r="ACW17" s="936"/>
      <c r="ACX17" s="936"/>
      <c r="ACY17" s="936"/>
      <c r="ACZ17" s="936"/>
      <c r="ADA17" s="936"/>
      <c r="ADB17" s="936"/>
      <c r="ADC17" s="936"/>
      <c r="ADD17" s="936"/>
      <c r="ADE17" s="936"/>
      <c r="ADF17" s="936"/>
      <c r="ADG17" s="936"/>
      <c r="ADH17" s="936"/>
      <c r="ADI17" s="936"/>
      <c r="ADJ17" s="936"/>
      <c r="ADK17" s="936"/>
      <c r="ADL17" s="936"/>
      <c r="ADM17" s="936"/>
      <c r="ADN17" s="936"/>
      <c r="ADO17" s="936"/>
      <c r="ADP17" s="936"/>
      <c r="ADQ17" s="936"/>
      <c r="ADR17" s="936"/>
      <c r="ADS17" s="936"/>
      <c r="ADT17" s="936"/>
      <c r="ADU17" s="936"/>
      <c r="ADV17" s="936"/>
      <c r="ADW17" s="936"/>
      <c r="ADX17" s="936"/>
      <c r="ADY17" s="936"/>
      <c r="ADZ17" s="936"/>
      <c r="AEA17" s="936"/>
      <c r="AEB17" s="936"/>
      <c r="AEC17" s="936"/>
      <c r="AED17" s="936"/>
      <c r="AEE17" s="936"/>
      <c r="AEF17" s="936"/>
      <c r="AEG17" s="936"/>
      <c r="AEH17" s="936"/>
      <c r="AEI17" s="936"/>
      <c r="AEJ17" s="936"/>
      <c r="AEK17" s="936"/>
      <c r="AEL17" s="936"/>
      <c r="AEM17" s="936"/>
      <c r="AEN17" s="936"/>
      <c r="AEO17" s="936"/>
      <c r="AEP17" s="936"/>
      <c r="AEQ17" s="936"/>
      <c r="AER17" s="936"/>
      <c r="AES17" s="936"/>
      <c r="AET17" s="936"/>
      <c r="AEU17" s="936"/>
      <c r="AEV17" s="936"/>
      <c r="AEW17" s="936"/>
      <c r="AEX17" s="936"/>
      <c r="AEY17" s="936"/>
      <c r="AEZ17" s="936"/>
      <c r="AFA17" s="936"/>
      <c r="AFB17" s="936"/>
      <c r="AFC17" s="936"/>
      <c r="AFD17" s="936"/>
      <c r="AFE17" s="936"/>
      <c r="AFF17" s="936"/>
      <c r="AFG17" s="936"/>
      <c r="AFH17" s="936"/>
      <c r="AFI17" s="936"/>
      <c r="AFJ17" s="936"/>
      <c r="AFK17" s="936"/>
      <c r="AFL17" s="936"/>
      <c r="AFM17" s="936"/>
      <c r="AFN17" s="936"/>
      <c r="AFO17" s="936"/>
      <c r="AFP17" s="936"/>
      <c r="AFQ17" s="936"/>
      <c r="AFR17" s="936"/>
      <c r="AFS17" s="936"/>
      <c r="AFT17" s="936"/>
      <c r="AFU17" s="936"/>
      <c r="AFV17" s="936"/>
      <c r="AFW17" s="936"/>
      <c r="AFX17" s="936"/>
      <c r="AFY17" s="936"/>
      <c r="AFZ17" s="936"/>
      <c r="AGA17" s="936"/>
      <c r="AGB17" s="936"/>
      <c r="AGC17" s="936"/>
      <c r="AGD17" s="936"/>
      <c r="AGE17" s="936"/>
      <c r="AGF17" s="936"/>
      <c r="AGG17" s="936"/>
      <c r="AGH17" s="936"/>
      <c r="AGI17" s="936"/>
      <c r="AGJ17" s="936"/>
      <c r="AGK17" s="936"/>
      <c r="AGL17" s="936"/>
      <c r="AGM17" s="936"/>
      <c r="AGN17" s="936"/>
      <c r="AGO17" s="936"/>
      <c r="AGP17" s="936"/>
      <c r="AGQ17" s="936"/>
      <c r="AGR17" s="936"/>
      <c r="AGS17" s="936"/>
      <c r="AGT17" s="936"/>
      <c r="AGU17" s="936"/>
      <c r="AGV17" s="936"/>
      <c r="AGW17" s="936"/>
      <c r="AGX17" s="936"/>
      <c r="AGY17" s="936"/>
      <c r="AGZ17" s="936"/>
      <c r="AHA17" s="936"/>
      <c r="AHB17" s="936"/>
      <c r="AHC17" s="936"/>
      <c r="AHD17" s="936"/>
      <c r="AHE17" s="936"/>
      <c r="AHF17" s="936"/>
      <c r="AHG17" s="936"/>
      <c r="AHH17" s="936"/>
      <c r="AHI17" s="936"/>
      <c r="AHJ17" s="936"/>
      <c r="AHK17" s="936"/>
      <c r="AHL17" s="936"/>
      <c r="AHM17" s="936"/>
      <c r="AHN17" s="936"/>
      <c r="AHO17" s="936"/>
      <c r="AHP17" s="936"/>
      <c r="AHQ17" s="936"/>
      <c r="AHR17" s="936"/>
      <c r="AHS17" s="936"/>
      <c r="AHT17" s="936"/>
      <c r="AHU17" s="936"/>
      <c r="AHV17" s="936"/>
      <c r="AHW17" s="936"/>
      <c r="AHX17" s="936"/>
      <c r="AHY17" s="936"/>
      <c r="AHZ17" s="936"/>
      <c r="AIA17" s="936"/>
      <c r="AIB17" s="936"/>
      <c r="AIC17" s="936"/>
      <c r="AID17" s="936"/>
      <c r="AIE17" s="936"/>
      <c r="AIF17" s="936"/>
      <c r="AIG17" s="936"/>
      <c r="AIH17" s="936"/>
      <c r="AII17" s="936"/>
      <c r="AIJ17" s="936"/>
      <c r="AIK17" s="936"/>
      <c r="AIL17" s="936"/>
      <c r="AIM17" s="936"/>
      <c r="AIN17" s="936"/>
      <c r="AIO17" s="936"/>
      <c r="AIP17" s="936"/>
      <c r="AIQ17" s="936"/>
      <c r="AIR17" s="936"/>
      <c r="AIS17" s="936"/>
      <c r="AIT17" s="936"/>
      <c r="AIU17" s="936"/>
      <c r="AIV17" s="936"/>
      <c r="AIW17" s="936"/>
      <c r="AIX17" s="936"/>
      <c r="AIY17" s="936"/>
      <c r="AIZ17" s="936"/>
      <c r="AJA17" s="936"/>
      <c r="AJB17" s="936"/>
      <c r="AJC17" s="936"/>
      <c r="AJD17" s="936"/>
      <c r="AJE17" s="936"/>
      <c r="AJF17" s="936"/>
      <c r="AJG17" s="936"/>
      <c r="AJH17" s="936"/>
      <c r="AJI17" s="936"/>
      <c r="AJJ17" s="936"/>
      <c r="AJK17" s="936"/>
      <c r="AJL17" s="936"/>
      <c r="AJM17" s="936"/>
      <c r="AJN17" s="936"/>
      <c r="AJO17" s="936"/>
      <c r="AJP17" s="936"/>
      <c r="AJQ17" s="936"/>
      <c r="AJR17" s="936"/>
      <c r="AJS17" s="936"/>
      <c r="AJT17" s="936"/>
      <c r="AJU17" s="936"/>
      <c r="AJV17" s="936"/>
      <c r="AJW17" s="936"/>
      <c r="AJX17" s="936"/>
      <c r="AJY17" s="936"/>
      <c r="AJZ17" s="936"/>
      <c r="AKA17" s="936"/>
      <c r="AKB17" s="936"/>
      <c r="AKC17" s="936"/>
      <c r="AKD17" s="936"/>
      <c r="AKE17" s="936"/>
      <c r="AKF17" s="936"/>
      <c r="AKG17" s="936"/>
      <c r="AKH17" s="936"/>
      <c r="AKI17" s="936"/>
      <c r="AKJ17" s="936"/>
      <c r="AKK17" s="936"/>
      <c r="AKL17" s="936"/>
      <c r="AKM17" s="936"/>
      <c r="AKN17" s="936"/>
      <c r="AKO17" s="936"/>
      <c r="AKP17" s="936"/>
      <c r="AKQ17" s="936"/>
      <c r="AKR17" s="936"/>
      <c r="AKS17" s="936"/>
      <c r="AKT17" s="936"/>
      <c r="AKU17" s="936"/>
      <c r="AKV17" s="936"/>
      <c r="AKW17" s="936"/>
      <c r="AKX17" s="936"/>
      <c r="AKY17" s="936"/>
      <c r="AKZ17" s="936"/>
      <c r="ALA17" s="936"/>
      <c r="ALB17" s="936"/>
      <c r="ALC17" s="936"/>
      <c r="ALD17" s="936"/>
      <c r="ALE17" s="936"/>
      <c r="ALF17" s="936"/>
      <c r="ALG17" s="936"/>
      <c r="ALH17" s="936"/>
      <c r="ALI17" s="936"/>
      <c r="ALJ17" s="936"/>
      <c r="ALK17" s="936"/>
      <c r="ALL17" s="936"/>
      <c r="ALM17" s="936"/>
      <c r="ALN17" s="936"/>
      <c r="ALO17" s="936"/>
      <c r="ALP17" s="936"/>
      <c r="ALQ17" s="936"/>
      <c r="ALR17" s="936"/>
      <c r="ALS17" s="936"/>
      <c r="ALT17" s="936"/>
      <c r="ALU17" s="936"/>
      <c r="ALV17" s="936"/>
      <c r="ALW17" s="936"/>
      <c r="ALX17" s="936"/>
      <c r="ALY17" s="936"/>
      <c r="ALZ17" s="936"/>
      <c r="AMA17" s="936"/>
      <c r="AMB17" s="936"/>
      <c r="AMC17" s="936"/>
      <c r="AMD17" s="936"/>
      <c r="AME17" s="936"/>
      <c r="AMF17" s="936"/>
      <c r="AMG17" s="936"/>
      <c r="AMH17" s="936"/>
      <c r="AMI17" s="936"/>
      <c r="AMJ17" s="936"/>
      <c r="AMK17" s="936"/>
      <c r="AML17" s="936"/>
      <c r="AMM17" s="936"/>
      <c r="AMN17" s="936"/>
      <c r="AMO17" s="936"/>
      <c r="AMP17" s="936"/>
      <c r="AMQ17" s="936"/>
      <c r="AMR17" s="936"/>
      <c r="AMS17" s="936"/>
      <c r="AMT17" s="936"/>
      <c r="AMU17" s="936"/>
      <c r="AMV17" s="936"/>
      <c r="AMW17" s="936"/>
      <c r="AMX17" s="936"/>
      <c r="AMY17" s="936"/>
      <c r="AMZ17" s="936"/>
      <c r="ANA17" s="936"/>
      <c r="ANB17" s="936"/>
      <c r="ANC17" s="936"/>
      <c r="AND17" s="936"/>
      <c r="ANE17" s="936"/>
      <c r="ANF17" s="936"/>
      <c r="ANG17" s="936"/>
      <c r="ANH17" s="936"/>
      <c r="ANI17" s="936"/>
      <c r="ANJ17" s="936"/>
      <c r="ANK17" s="936"/>
      <c r="ANL17" s="936"/>
      <c r="ANM17" s="936"/>
      <c r="ANN17" s="936"/>
      <c r="ANO17" s="936"/>
      <c r="ANP17" s="936"/>
      <c r="ANQ17" s="936"/>
      <c r="ANR17" s="936"/>
      <c r="ANS17" s="936"/>
      <c r="ANT17" s="936"/>
      <c r="ANU17" s="936"/>
      <c r="ANV17" s="936"/>
      <c r="ANW17" s="936"/>
      <c r="ANX17" s="936"/>
      <c r="ANY17" s="936"/>
      <c r="ANZ17" s="936"/>
      <c r="AOA17" s="936"/>
      <c r="AOB17" s="936"/>
      <c r="AOC17" s="936"/>
      <c r="AOD17" s="936"/>
      <c r="AOE17" s="936"/>
      <c r="AOF17" s="936"/>
      <c r="AOG17" s="936"/>
      <c r="AOH17" s="936"/>
      <c r="AOI17" s="936"/>
      <c r="AOJ17" s="936"/>
      <c r="AOK17" s="936"/>
      <c r="AOL17" s="936"/>
      <c r="AOM17" s="936"/>
      <c r="AON17" s="936"/>
      <c r="AOO17" s="936"/>
      <c r="AOP17" s="936"/>
      <c r="AOQ17" s="936"/>
      <c r="AOR17" s="936"/>
      <c r="AOS17" s="936"/>
      <c r="AOT17" s="936"/>
      <c r="AOU17" s="936"/>
      <c r="AOV17" s="936"/>
      <c r="AOW17" s="936"/>
      <c r="AOX17" s="936"/>
      <c r="AOY17" s="936"/>
      <c r="AOZ17" s="936"/>
      <c r="APA17" s="936"/>
      <c r="APB17" s="936"/>
      <c r="APC17" s="936"/>
      <c r="APD17" s="936"/>
      <c r="APE17" s="936"/>
      <c r="APF17" s="936"/>
      <c r="APG17" s="936"/>
      <c r="APH17" s="936"/>
      <c r="API17" s="936"/>
      <c r="APJ17" s="936"/>
      <c r="APK17" s="936"/>
      <c r="APL17" s="936"/>
      <c r="APM17" s="936"/>
      <c r="APN17" s="936"/>
      <c r="APO17" s="936"/>
      <c r="APP17" s="936"/>
      <c r="APQ17" s="936"/>
      <c r="APR17" s="936"/>
      <c r="APS17" s="936"/>
      <c r="APT17" s="936"/>
      <c r="APU17" s="936"/>
      <c r="APV17" s="936"/>
      <c r="APW17" s="936"/>
      <c r="APX17" s="936"/>
      <c r="APY17" s="936"/>
      <c r="APZ17" s="936"/>
      <c r="AQA17" s="936"/>
      <c r="AQB17" s="936"/>
      <c r="AQC17" s="936"/>
      <c r="AQD17" s="936"/>
      <c r="AQE17" s="936"/>
      <c r="AQF17" s="936"/>
      <c r="AQG17" s="936"/>
      <c r="AQH17" s="936"/>
      <c r="AQI17" s="936"/>
      <c r="AQJ17" s="936"/>
      <c r="AQK17" s="936"/>
      <c r="AQL17" s="936"/>
      <c r="AQM17" s="936"/>
      <c r="AQN17" s="936"/>
      <c r="AQO17" s="936"/>
      <c r="AQP17" s="936"/>
      <c r="AQQ17" s="936"/>
      <c r="AQR17" s="936"/>
      <c r="AQS17" s="936"/>
      <c r="AQT17" s="936"/>
      <c r="AQU17" s="936"/>
      <c r="AQV17" s="936"/>
      <c r="AQW17" s="936"/>
      <c r="AQX17" s="936"/>
      <c r="AQY17" s="936"/>
      <c r="AQZ17" s="936"/>
      <c r="ARA17" s="936"/>
      <c r="ARB17" s="936"/>
      <c r="ARC17" s="936"/>
      <c r="ARD17" s="936"/>
      <c r="ARE17" s="936"/>
      <c r="ARF17" s="936"/>
      <c r="ARG17" s="936"/>
      <c r="ARH17" s="936"/>
      <c r="ARI17" s="936"/>
      <c r="ARJ17" s="936"/>
      <c r="ARK17" s="936"/>
      <c r="ARL17" s="936"/>
      <c r="ARM17" s="936"/>
      <c r="ARN17" s="936"/>
      <c r="ARO17" s="936"/>
      <c r="ARP17" s="936"/>
      <c r="ARQ17" s="936"/>
      <c r="ARR17" s="936"/>
      <c r="ARS17" s="936"/>
      <c r="ART17" s="936"/>
      <c r="ARU17" s="936"/>
      <c r="ARV17" s="936"/>
      <c r="ARW17" s="936"/>
      <c r="ARX17" s="936"/>
      <c r="ARY17" s="936"/>
      <c r="ARZ17" s="936"/>
      <c r="ASA17" s="936"/>
      <c r="ASB17" s="936"/>
      <c r="ASC17" s="936"/>
      <c r="ASD17" s="936"/>
      <c r="ASE17" s="936"/>
      <c r="ASF17" s="936"/>
      <c r="ASG17" s="936"/>
      <c r="ASH17" s="936"/>
      <c r="ASI17" s="936"/>
      <c r="ASJ17" s="936"/>
      <c r="ASK17" s="936"/>
      <c r="ASL17" s="936"/>
      <c r="ASM17" s="936"/>
      <c r="ASN17" s="936"/>
      <c r="ASO17" s="936"/>
      <c r="ASP17" s="936"/>
      <c r="ASQ17" s="936"/>
      <c r="ASR17" s="936"/>
      <c r="ASS17" s="936"/>
      <c r="AST17" s="936"/>
      <c r="ASU17" s="936"/>
      <c r="ASV17" s="936"/>
      <c r="ASW17" s="936"/>
      <c r="ASX17" s="936"/>
      <c r="ASY17" s="936"/>
      <c r="ASZ17" s="936"/>
      <c r="ATA17" s="936"/>
      <c r="ATB17" s="936"/>
      <c r="ATC17" s="936"/>
      <c r="ATD17" s="936"/>
      <c r="ATE17" s="936"/>
      <c r="ATF17" s="936"/>
      <c r="ATG17" s="936"/>
      <c r="ATH17" s="936"/>
      <c r="ATI17" s="936"/>
      <c r="ATJ17" s="936"/>
      <c r="ATK17" s="936"/>
      <c r="ATL17" s="936"/>
      <c r="ATM17" s="936"/>
      <c r="ATN17" s="936"/>
      <c r="ATO17" s="936"/>
      <c r="ATP17" s="936"/>
      <c r="ATQ17" s="936"/>
      <c r="ATR17" s="936"/>
      <c r="ATS17" s="936"/>
      <c r="ATT17" s="936"/>
      <c r="ATU17" s="936"/>
      <c r="ATV17" s="936"/>
      <c r="ATW17" s="936"/>
      <c r="ATX17" s="936"/>
      <c r="ATY17" s="936"/>
      <c r="ATZ17" s="936"/>
      <c r="AUA17" s="936"/>
      <c r="AUB17" s="936"/>
      <c r="AUC17" s="936"/>
      <c r="AUD17" s="936"/>
      <c r="AUE17" s="936"/>
      <c r="AUF17" s="936"/>
      <c r="AUG17" s="936"/>
      <c r="AUH17" s="936"/>
      <c r="AUI17" s="936"/>
      <c r="AUJ17" s="936"/>
      <c r="AUK17" s="936"/>
      <c r="AUL17" s="936"/>
      <c r="AUM17" s="936"/>
      <c r="AUN17" s="936"/>
      <c r="AUO17" s="936"/>
      <c r="AUP17" s="936"/>
      <c r="AUQ17" s="936"/>
      <c r="AUR17" s="936"/>
      <c r="AUS17" s="936"/>
      <c r="AUT17" s="936"/>
      <c r="AUU17" s="936"/>
      <c r="AUV17" s="936"/>
      <c r="AUW17" s="936"/>
      <c r="AUX17" s="936"/>
      <c r="AUY17" s="936"/>
      <c r="AUZ17" s="936"/>
      <c r="AVA17" s="936"/>
      <c r="AVB17" s="936"/>
      <c r="AVC17" s="936"/>
      <c r="AVD17" s="936"/>
      <c r="AVE17" s="936"/>
      <c r="AVF17" s="936"/>
      <c r="AVG17" s="936"/>
      <c r="AVH17" s="936"/>
      <c r="AVI17" s="936"/>
      <c r="AVJ17" s="936"/>
      <c r="AVK17" s="936"/>
      <c r="AVL17" s="936"/>
      <c r="AVM17" s="936"/>
      <c r="AVN17" s="936"/>
      <c r="AVO17" s="936"/>
      <c r="AVP17" s="936"/>
      <c r="AVQ17" s="936"/>
      <c r="AVR17" s="936"/>
      <c r="AVS17" s="936"/>
      <c r="AVT17" s="936"/>
      <c r="AVU17" s="936"/>
      <c r="AVV17" s="936"/>
      <c r="AVW17" s="936"/>
      <c r="AVX17" s="936"/>
      <c r="AVY17" s="936"/>
      <c r="AVZ17" s="936"/>
      <c r="AWA17" s="936"/>
      <c r="AWB17" s="936"/>
      <c r="AWC17" s="936"/>
      <c r="AWD17" s="936"/>
      <c r="AWE17" s="936"/>
      <c r="AWF17" s="936"/>
      <c r="AWG17" s="936"/>
      <c r="AWH17" s="936"/>
      <c r="AWI17" s="936"/>
      <c r="AWJ17" s="936"/>
      <c r="AWK17" s="936"/>
      <c r="AWL17" s="936"/>
      <c r="AWM17" s="936"/>
      <c r="AWN17" s="936"/>
      <c r="AWO17" s="936"/>
      <c r="AWP17" s="936"/>
      <c r="AWQ17" s="936"/>
      <c r="AWR17" s="936"/>
      <c r="AWS17" s="936"/>
      <c r="AWT17" s="936"/>
      <c r="AWU17" s="936"/>
      <c r="AWV17" s="936"/>
      <c r="AWW17" s="936"/>
      <c r="AWX17" s="936"/>
      <c r="AWY17" s="936"/>
      <c r="AWZ17" s="936"/>
      <c r="AXA17" s="936"/>
      <c r="AXB17" s="936"/>
      <c r="AXC17" s="936"/>
      <c r="AXD17" s="936"/>
      <c r="AXE17" s="936"/>
      <c r="AXF17" s="936"/>
      <c r="AXG17" s="936"/>
      <c r="AXH17" s="936"/>
      <c r="AXI17" s="936"/>
      <c r="AXJ17" s="936"/>
      <c r="AXK17" s="936"/>
      <c r="AXL17" s="936"/>
      <c r="AXM17" s="936"/>
      <c r="AXN17" s="936"/>
      <c r="AXO17" s="936"/>
      <c r="AXP17" s="936"/>
      <c r="AXQ17" s="936"/>
      <c r="AXR17" s="936"/>
      <c r="AXS17" s="936"/>
      <c r="AXT17" s="936"/>
      <c r="AXU17" s="936"/>
      <c r="AXV17" s="936"/>
      <c r="AXW17" s="936"/>
      <c r="AXX17" s="936"/>
      <c r="AXY17" s="936"/>
      <c r="AXZ17" s="936"/>
      <c r="AYA17" s="936"/>
      <c r="AYB17" s="936"/>
      <c r="AYC17" s="936"/>
      <c r="AYD17" s="936"/>
      <c r="AYE17" s="936"/>
      <c r="AYF17" s="936"/>
      <c r="AYG17" s="936"/>
      <c r="AYH17" s="936"/>
      <c r="AYI17" s="936"/>
      <c r="AYJ17" s="936"/>
      <c r="AYK17" s="936"/>
      <c r="AYL17" s="936"/>
      <c r="AYM17" s="936"/>
      <c r="AYN17" s="936"/>
      <c r="AYO17" s="936"/>
      <c r="AYP17" s="936"/>
      <c r="AYQ17" s="936"/>
      <c r="AYR17" s="936"/>
      <c r="AYS17" s="936"/>
      <c r="AYT17" s="936"/>
      <c r="AYU17" s="936"/>
      <c r="AYV17" s="936"/>
      <c r="AYW17" s="936"/>
      <c r="AYX17" s="936"/>
      <c r="AYY17" s="936"/>
      <c r="AYZ17" s="936"/>
      <c r="AZA17" s="936"/>
      <c r="AZB17" s="936"/>
      <c r="AZC17" s="936"/>
      <c r="AZD17" s="936"/>
      <c r="AZE17" s="936"/>
      <c r="AZF17" s="936"/>
      <c r="AZG17" s="936"/>
      <c r="AZH17" s="936"/>
      <c r="AZI17" s="936"/>
      <c r="AZJ17" s="936"/>
      <c r="AZK17" s="936"/>
      <c r="AZL17" s="936"/>
      <c r="AZM17" s="936"/>
      <c r="AZN17" s="936"/>
      <c r="AZO17" s="936"/>
      <c r="AZP17" s="936"/>
      <c r="AZQ17" s="936"/>
      <c r="AZR17" s="936"/>
      <c r="AZS17" s="936"/>
      <c r="AZT17" s="936"/>
      <c r="AZU17" s="936"/>
      <c r="AZV17" s="936"/>
      <c r="AZW17" s="936"/>
      <c r="AZX17" s="936"/>
      <c r="AZY17" s="936"/>
      <c r="AZZ17" s="936"/>
      <c r="BAA17" s="936"/>
      <c r="BAB17" s="936"/>
      <c r="BAC17" s="936"/>
      <c r="BAD17" s="936"/>
      <c r="BAE17" s="936"/>
      <c r="BAF17" s="936"/>
      <c r="BAG17" s="936"/>
      <c r="BAH17" s="936"/>
      <c r="BAI17" s="936"/>
      <c r="BAJ17" s="936"/>
      <c r="BAK17" s="936"/>
      <c r="BAL17" s="936"/>
      <c r="BAM17" s="936"/>
      <c r="BAN17" s="936"/>
      <c r="BAO17" s="936"/>
      <c r="BAP17" s="936"/>
      <c r="BAQ17" s="936"/>
      <c r="BAR17" s="936"/>
      <c r="BAS17" s="936"/>
      <c r="BAT17" s="936"/>
      <c r="BAU17" s="936"/>
      <c r="BAV17" s="936"/>
      <c r="BAW17" s="936"/>
      <c r="BAX17" s="936"/>
      <c r="BAY17" s="936"/>
      <c r="BAZ17" s="936"/>
      <c r="BBA17" s="936"/>
      <c r="BBB17" s="936"/>
      <c r="BBC17" s="936"/>
      <c r="BBD17" s="936"/>
      <c r="BBE17" s="936"/>
      <c r="BBF17" s="936"/>
      <c r="BBG17" s="936"/>
      <c r="BBH17" s="936"/>
      <c r="BBI17" s="936"/>
      <c r="BBJ17" s="936"/>
      <c r="BBK17" s="936"/>
      <c r="BBL17" s="936"/>
      <c r="BBM17" s="936"/>
      <c r="BBN17" s="936"/>
      <c r="BBO17" s="936"/>
      <c r="BBP17" s="936"/>
      <c r="BBQ17" s="936"/>
      <c r="BBR17" s="936"/>
      <c r="BBS17" s="936"/>
      <c r="BBT17" s="936"/>
      <c r="BBU17" s="936"/>
      <c r="BBV17" s="936"/>
      <c r="BBW17" s="936"/>
      <c r="BBX17" s="936"/>
      <c r="BBY17" s="936"/>
      <c r="BBZ17" s="936"/>
      <c r="BCA17" s="936"/>
      <c r="BCB17" s="936"/>
      <c r="BCC17" s="936"/>
      <c r="BCD17" s="936"/>
      <c r="BCE17" s="936"/>
      <c r="BCF17" s="936"/>
      <c r="BCG17" s="936"/>
      <c r="BCH17" s="936"/>
      <c r="BCI17" s="936"/>
      <c r="BCJ17" s="936"/>
      <c r="BCK17" s="936"/>
      <c r="BCL17" s="936"/>
      <c r="BCM17" s="936"/>
      <c r="BCN17" s="936"/>
      <c r="BCO17" s="936"/>
      <c r="BCP17" s="936"/>
      <c r="BCQ17" s="936"/>
      <c r="BCR17" s="936"/>
      <c r="BCS17" s="936"/>
      <c r="BCT17" s="936"/>
      <c r="BCU17" s="936"/>
      <c r="BCV17" s="936"/>
      <c r="BCW17" s="936"/>
      <c r="BCX17" s="936"/>
      <c r="BCY17" s="936"/>
      <c r="BCZ17" s="936"/>
      <c r="BDA17" s="936"/>
      <c r="BDB17" s="936"/>
      <c r="BDC17" s="936"/>
      <c r="BDD17" s="936"/>
      <c r="BDE17" s="936"/>
      <c r="BDF17" s="936"/>
      <c r="BDG17" s="936"/>
      <c r="BDH17" s="936"/>
      <c r="BDI17" s="936"/>
      <c r="BDJ17" s="936"/>
      <c r="BDK17" s="936"/>
      <c r="BDL17" s="936"/>
      <c r="BDM17" s="936"/>
      <c r="BDN17" s="936"/>
      <c r="BDO17" s="936"/>
      <c r="BDP17" s="936"/>
      <c r="BDQ17" s="936"/>
      <c r="BDR17" s="936"/>
      <c r="BDS17" s="936"/>
      <c r="BDT17" s="936"/>
      <c r="BDU17" s="936"/>
      <c r="BDV17" s="936"/>
      <c r="BDW17" s="936"/>
      <c r="BDX17" s="936"/>
      <c r="BDY17" s="936"/>
      <c r="BDZ17" s="936"/>
      <c r="BEA17" s="936"/>
      <c r="BEB17" s="936"/>
      <c r="BEC17" s="936"/>
      <c r="BED17" s="936"/>
      <c r="BEE17" s="936"/>
      <c r="BEF17" s="936"/>
      <c r="BEG17" s="936"/>
      <c r="BEH17" s="936"/>
      <c r="BEI17" s="936"/>
      <c r="BEJ17" s="936"/>
      <c r="BEK17" s="936"/>
      <c r="BEL17" s="936"/>
      <c r="BEM17" s="936"/>
      <c r="BEN17" s="936"/>
      <c r="BEO17" s="936"/>
      <c r="BEP17" s="936"/>
      <c r="BEQ17" s="936"/>
      <c r="BER17" s="936"/>
      <c r="BES17" s="936"/>
      <c r="BET17" s="936"/>
      <c r="BEU17" s="936"/>
      <c r="BEV17" s="936"/>
      <c r="BEW17" s="936"/>
      <c r="BEX17" s="936"/>
      <c r="BEY17" s="936"/>
      <c r="BEZ17" s="936"/>
      <c r="BFA17" s="936"/>
      <c r="BFB17" s="936"/>
      <c r="BFC17" s="936"/>
      <c r="BFD17" s="936"/>
      <c r="BFE17" s="936"/>
      <c r="BFF17" s="936"/>
      <c r="BFG17" s="936"/>
      <c r="BFH17" s="936"/>
      <c r="BFI17" s="936"/>
      <c r="BFJ17" s="936"/>
      <c r="BFK17" s="936"/>
      <c r="BFL17" s="936"/>
      <c r="BFM17" s="936"/>
      <c r="BFN17" s="936"/>
      <c r="BFO17" s="936"/>
      <c r="BFP17" s="936"/>
      <c r="BFQ17" s="936"/>
      <c r="BFR17" s="936"/>
      <c r="BFS17" s="936"/>
      <c r="BFT17" s="936"/>
      <c r="BFU17" s="936"/>
      <c r="BFV17" s="936"/>
      <c r="BFW17" s="936"/>
      <c r="BFX17" s="936"/>
      <c r="BFY17" s="936"/>
      <c r="BFZ17" s="936"/>
      <c r="BGA17" s="936"/>
      <c r="BGB17" s="936"/>
      <c r="BGC17" s="936"/>
      <c r="BGD17" s="936"/>
      <c r="BGE17" s="936"/>
      <c r="BGF17" s="936"/>
      <c r="BGG17" s="936"/>
      <c r="BGH17" s="936"/>
      <c r="BGI17" s="936"/>
      <c r="BGJ17" s="936"/>
      <c r="BGK17" s="936"/>
      <c r="BGL17" s="936"/>
      <c r="BGM17" s="936"/>
      <c r="BGN17" s="936"/>
      <c r="BGO17" s="936"/>
      <c r="BGP17" s="936"/>
      <c r="BGQ17" s="936"/>
      <c r="BGR17" s="936"/>
      <c r="BGS17" s="936"/>
      <c r="BGT17" s="936"/>
      <c r="BGU17" s="936"/>
      <c r="BGV17" s="936"/>
      <c r="BGW17" s="936"/>
      <c r="BGX17" s="936"/>
      <c r="BGY17" s="936"/>
      <c r="BGZ17" s="936"/>
      <c r="BHA17" s="936"/>
      <c r="BHB17" s="936"/>
      <c r="BHC17" s="936"/>
      <c r="BHD17" s="936"/>
      <c r="BHE17" s="936"/>
      <c r="BHF17" s="936"/>
      <c r="BHG17" s="936"/>
      <c r="BHH17" s="936"/>
      <c r="BHI17" s="936"/>
      <c r="BHJ17" s="936"/>
      <c r="BHK17" s="936"/>
      <c r="BHL17" s="936"/>
      <c r="BHM17" s="936"/>
      <c r="BHN17" s="936"/>
      <c r="BHO17" s="936"/>
      <c r="BHP17" s="936"/>
      <c r="BHQ17" s="936"/>
      <c r="BHR17" s="936"/>
      <c r="BHS17" s="936"/>
      <c r="BHT17" s="936"/>
      <c r="BHU17" s="936"/>
      <c r="BHV17" s="936"/>
      <c r="BHW17" s="936"/>
      <c r="BHX17" s="936"/>
      <c r="BHY17" s="936"/>
      <c r="BHZ17" s="936"/>
      <c r="BIA17" s="936"/>
      <c r="BIB17" s="936"/>
      <c r="BIC17" s="936"/>
      <c r="BID17" s="936"/>
      <c r="BIE17" s="936"/>
      <c r="BIF17" s="936"/>
      <c r="BIG17" s="936"/>
      <c r="BIH17" s="936"/>
      <c r="BII17" s="936"/>
      <c r="BIJ17" s="936"/>
      <c r="BIK17" s="936"/>
      <c r="BIL17" s="936"/>
      <c r="BIM17" s="936"/>
      <c r="BIN17" s="936"/>
      <c r="BIO17" s="936"/>
      <c r="BIP17" s="936"/>
      <c r="BIQ17" s="936"/>
      <c r="BIR17" s="936"/>
      <c r="BIS17" s="936"/>
      <c r="BIT17" s="936"/>
      <c r="BIU17" s="936"/>
      <c r="BIV17" s="936"/>
      <c r="BIW17" s="936"/>
      <c r="BIX17" s="936"/>
      <c r="BIY17" s="936"/>
      <c r="BIZ17" s="936"/>
      <c r="BJA17" s="936"/>
      <c r="BJB17" s="936"/>
      <c r="BJC17" s="936"/>
      <c r="BJD17" s="936"/>
      <c r="BJE17" s="936"/>
      <c r="BJF17" s="936"/>
      <c r="BJG17" s="936"/>
      <c r="BJH17" s="936"/>
      <c r="BJI17" s="936"/>
      <c r="BJJ17" s="936"/>
      <c r="BJK17" s="936"/>
      <c r="BJL17" s="936"/>
      <c r="BJM17" s="936"/>
      <c r="BJN17" s="936"/>
      <c r="BJO17" s="936"/>
      <c r="BJP17" s="936"/>
      <c r="BJQ17" s="936"/>
      <c r="BJR17" s="936"/>
      <c r="BJS17" s="936"/>
      <c r="BJT17" s="936"/>
      <c r="BJU17" s="936"/>
      <c r="BJV17" s="936"/>
      <c r="BJW17" s="936"/>
      <c r="BJX17" s="936"/>
      <c r="BJY17" s="936"/>
      <c r="BJZ17" s="936"/>
      <c r="BKA17" s="936"/>
      <c r="BKB17" s="936"/>
      <c r="BKC17" s="936"/>
      <c r="BKD17" s="936"/>
      <c r="BKE17" s="936"/>
      <c r="BKF17" s="936"/>
      <c r="BKG17" s="936"/>
      <c r="BKH17" s="936"/>
      <c r="BKI17" s="936"/>
      <c r="BKJ17" s="936"/>
      <c r="BKK17" s="936"/>
      <c r="BKL17" s="936"/>
      <c r="BKM17" s="936"/>
      <c r="BKN17" s="936"/>
      <c r="BKO17" s="936"/>
      <c r="BKP17" s="936"/>
      <c r="BKQ17" s="936"/>
      <c r="BKR17" s="936"/>
      <c r="BKS17" s="936"/>
      <c r="BKT17" s="936"/>
      <c r="BKU17" s="936"/>
      <c r="BKV17" s="936"/>
      <c r="BKW17" s="936"/>
      <c r="BKX17" s="936"/>
      <c r="BKY17" s="936"/>
      <c r="BKZ17" s="936"/>
      <c r="BLA17" s="936"/>
      <c r="BLB17" s="936"/>
      <c r="BLC17" s="936"/>
      <c r="BLD17" s="936"/>
      <c r="BLE17" s="936"/>
      <c r="BLF17" s="936"/>
      <c r="BLG17" s="936"/>
      <c r="BLH17" s="936"/>
      <c r="BLI17" s="936"/>
      <c r="BLJ17" s="936"/>
      <c r="BLK17" s="936"/>
      <c r="BLL17" s="936"/>
      <c r="BLM17" s="936"/>
      <c r="BLN17" s="936"/>
      <c r="BLO17" s="936"/>
      <c r="BLP17" s="936"/>
      <c r="BLQ17" s="936"/>
      <c r="BLR17" s="936"/>
      <c r="BLS17" s="936"/>
      <c r="BLT17" s="936"/>
      <c r="BLU17" s="936"/>
      <c r="BLV17" s="936"/>
      <c r="BLW17" s="936"/>
      <c r="BLX17" s="936"/>
      <c r="BLY17" s="936"/>
      <c r="BLZ17" s="936"/>
      <c r="BMA17" s="936"/>
      <c r="BMB17" s="936"/>
      <c r="BMC17" s="936"/>
      <c r="BMD17" s="936"/>
      <c r="BME17" s="936"/>
      <c r="BMF17" s="936"/>
      <c r="BMG17" s="936"/>
      <c r="BMH17" s="936"/>
      <c r="BMI17" s="936"/>
      <c r="BMJ17" s="936"/>
      <c r="BMK17" s="936"/>
      <c r="BML17" s="936"/>
      <c r="BMM17" s="936"/>
      <c r="BMN17" s="936"/>
      <c r="BMO17" s="936"/>
      <c r="BMP17" s="936"/>
      <c r="BMQ17" s="936"/>
      <c r="BMR17" s="936"/>
      <c r="BMS17" s="936"/>
      <c r="BMT17" s="936"/>
      <c r="BMU17" s="936"/>
      <c r="BMV17" s="936"/>
      <c r="BMW17" s="936"/>
      <c r="BMX17" s="936"/>
      <c r="BMY17" s="936"/>
      <c r="BMZ17" s="936"/>
      <c r="BNA17" s="936"/>
      <c r="BNB17" s="936"/>
      <c r="BNC17" s="936"/>
      <c r="BND17" s="936"/>
      <c r="BNE17" s="936"/>
      <c r="BNF17" s="936"/>
      <c r="BNG17" s="936"/>
      <c r="BNH17" s="936"/>
      <c r="BNI17" s="936"/>
      <c r="BNJ17" s="936"/>
      <c r="BNK17" s="936"/>
      <c r="BNL17" s="936"/>
      <c r="BNM17" s="936"/>
      <c r="BNN17" s="936"/>
      <c r="BNO17" s="936"/>
      <c r="BNP17" s="936"/>
      <c r="BNQ17" s="936"/>
      <c r="BNR17" s="936"/>
      <c r="BNS17" s="936"/>
      <c r="BNT17" s="936"/>
      <c r="BNU17" s="936"/>
      <c r="BNV17" s="936"/>
      <c r="BNW17" s="936"/>
      <c r="BNX17" s="936"/>
      <c r="BNY17" s="936"/>
      <c r="BNZ17" s="936"/>
      <c r="BOA17" s="936"/>
      <c r="BOB17" s="936"/>
      <c r="BOC17" s="936"/>
      <c r="BOD17" s="936"/>
      <c r="BOE17" s="936"/>
      <c r="BOF17" s="936"/>
      <c r="BOG17" s="936"/>
      <c r="BOH17" s="936"/>
      <c r="BOI17" s="936"/>
      <c r="BOJ17" s="936"/>
      <c r="BOK17" s="936"/>
      <c r="BOL17" s="936"/>
      <c r="BOM17" s="936"/>
      <c r="BON17" s="936"/>
      <c r="BOO17" s="936"/>
      <c r="BOP17" s="936"/>
      <c r="BOQ17" s="936"/>
      <c r="BOR17" s="936"/>
      <c r="BOS17" s="936"/>
      <c r="BOT17" s="936"/>
      <c r="BOU17" s="936"/>
      <c r="BOV17" s="936"/>
      <c r="BOW17" s="936"/>
      <c r="BOX17" s="936"/>
      <c r="BOY17" s="936"/>
      <c r="BOZ17" s="936"/>
      <c r="BPA17" s="936"/>
      <c r="BPB17" s="936"/>
      <c r="BPC17" s="936"/>
      <c r="BPD17" s="936"/>
      <c r="BPE17" s="936"/>
      <c r="BPF17" s="936"/>
      <c r="BPG17" s="936"/>
      <c r="BPH17" s="936"/>
      <c r="BPI17" s="936"/>
      <c r="BPJ17" s="936"/>
      <c r="BPK17" s="936"/>
      <c r="BPL17" s="936"/>
      <c r="BPM17" s="936"/>
      <c r="BPN17" s="936"/>
      <c r="BPO17" s="936"/>
      <c r="BPP17" s="936"/>
      <c r="BPQ17" s="936"/>
      <c r="BPR17" s="936"/>
      <c r="BPS17" s="936"/>
      <c r="BPT17" s="936"/>
      <c r="BPU17" s="936"/>
      <c r="BPV17" s="936"/>
      <c r="BPW17" s="936"/>
      <c r="BPX17" s="936"/>
      <c r="BPY17" s="936"/>
      <c r="BPZ17" s="936"/>
      <c r="BQA17" s="936"/>
      <c r="BQB17" s="936"/>
      <c r="BQC17" s="936"/>
      <c r="BQD17" s="936"/>
      <c r="BQE17" s="936"/>
      <c r="BQF17" s="936"/>
      <c r="BQG17" s="936"/>
      <c r="BQH17" s="936"/>
      <c r="BQI17" s="936"/>
      <c r="BQJ17" s="936"/>
      <c r="BQK17" s="936"/>
      <c r="BQL17" s="936"/>
      <c r="BQM17" s="936"/>
      <c r="BQN17" s="936"/>
      <c r="BQO17" s="936"/>
      <c r="BQP17" s="936"/>
      <c r="BQQ17" s="936"/>
      <c r="BQR17" s="936"/>
      <c r="BQS17" s="936"/>
      <c r="BQT17" s="936"/>
      <c r="BQU17" s="936"/>
      <c r="BQV17" s="936"/>
      <c r="BQW17" s="936"/>
      <c r="BQX17" s="936"/>
      <c r="BQY17" s="936"/>
      <c r="BQZ17" s="936"/>
      <c r="BRA17" s="936"/>
      <c r="BRB17" s="936"/>
      <c r="BRC17" s="936"/>
      <c r="BRD17" s="936"/>
      <c r="BRE17" s="936"/>
      <c r="BRF17" s="936"/>
      <c r="BRG17" s="936"/>
      <c r="BRH17" s="936"/>
      <c r="BRI17" s="936"/>
      <c r="BRJ17" s="936"/>
      <c r="BRK17" s="936"/>
      <c r="BRL17" s="936"/>
      <c r="BRM17" s="936"/>
      <c r="BRN17" s="936"/>
      <c r="BRO17" s="936"/>
      <c r="BRP17" s="936"/>
      <c r="BRQ17" s="936"/>
      <c r="BRR17" s="936"/>
      <c r="BRS17" s="936"/>
      <c r="BRT17" s="936"/>
      <c r="BRU17" s="936"/>
      <c r="BRV17" s="936"/>
      <c r="BRW17" s="936"/>
      <c r="BRX17" s="936"/>
      <c r="BRY17" s="936"/>
      <c r="BRZ17" s="936"/>
      <c r="BSA17" s="936"/>
      <c r="BSB17" s="936"/>
      <c r="BSC17" s="936"/>
      <c r="BSD17" s="936"/>
      <c r="BSE17" s="936"/>
      <c r="BSF17" s="936"/>
      <c r="BSG17" s="936"/>
      <c r="BSH17" s="936"/>
      <c r="BSI17" s="936"/>
      <c r="BSJ17" s="936"/>
      <c r="BSK17" s="936"/>
      <c r="BSL17" s="936"/>
      <c r="BSM17" s="936"/>
      <c r="BSN17" s="936"/>
      <c r="BSO17" s="936"/>
      <c r="BSP17" s="936"/>
      <c r="BSQ17" s="936"/>
      <c r="BSR17" s="936"/>
      <c r="BSS17" s="936"/>
      <c r="BST17" s="936"/>
      <c r="BSU17" s="936"/>
      <c r="BSV17" s="936"/>
      <c r="BSW17" s="936"/>
      <c r="BSX17" s="936"/>
      <c r="BSY17" s="936"/>
      <c r="BSZ17" s="936"/>
      <c r="BTA17" s="936"/>
      <c r="BTB17" s="936"/>
      <c r="BTC17" s="936"/>
      <c r="BTD17" s="936"/>
      <c r="BTE17" s="936"/>
      <c r="BTF17" s="936"/>
      <c r="BTG17" s="936"/>
      <c r="BTH17" s="936"/>
      <c r="BTI17" s="936"/>
    </row>
    <row r="18" spans="1:1881" s="939" customFormat="1" ht="111.75" hidden="1" customHeight="1" thickBot="1" x14ac:dyDescent="0.35">
      <c r="A18" s="938">
        <v>632</v>
      </c>
      <c r="B18" s="652" t="s">
        <v>439</v>
      </c>
      <c r="C18" s="651" t="s">
        <v>129</v>
      </c>
      <c r="D18" s="932" t="s">
        <v>848</v>
      </c>
      <c r="E18" s="933" t="e">
        <f>HLOOKUP($D$2,'2020 Data(H)'!$C$1:$CZ$426,291,FALSE)</f>
        <v>#N/A</v>
      </c>
      <c r="F18" s="934">
        <v>0</v>
      </c>
      <c r="G18" s="571">
        <f>IF(F18&gt;F12,"Please review account numbers 632 &gt; 626",)</f>
        <v>0</v>
      </c>
      <c r="H18" s="576"/>
      <c r="I18" s="576"/>
      <c r="J18" s="935"/>
      <c r="K18" s="936"/>
      <c r="L18" s="545"/>
      <c r="M18" s="936"/>
      <c r="N18" s="937"/>
      <c r="O18" s="936"/>
      <c r="P18" s="936"/>
      <c r="Q18" s="934">
        <v>0</v>
      </c>
      <c r="R18" s="936"/>
      <c r="S18" s="936"/>
      <c r="T18" s="936"/>
      <c r="U18" s="936"/>
      <c r="V18" s="936"/>
      <c r="W18" s="936"/>
      <c r="X18" s="936"/>
      <c r="Y18" s="936"/>
      <c r="Z18" s="938"/>
      <c r="AA18" s="938"/>
      <c r="AB18" s="938"/>
      <c r="AC18" s="938"/>
      <c r="AD18" s="938"/>
      <c r="AE18" s="938"/>
      <c r="AF18" s="938"/>
      <c r="AG18" s="938"/>
      <c r="AH18" s="938"/>
      <c r="AI18" s="938"/>
      <c r="AJ18" s="938"/>
      <c r="AK18" s="938"/>
      <c r="AL18" s="938"/>
      <c r="AM18" s="938"/>
      <c r="AN18" s="938"/>
      <c r="AO18" s="938"/>
      <c r="AP18" s="938"/>
      <c r="AQ18" s="938"/>
      <c r="AR18" s="938"/>
      <c r="AS18" s="936"/>
      <c r="AT18" s="936"/>
      <c r="AU18" s="936"/>
      <c r="AV18" s="936"/>
      <c r="AW18" s="936"/>
      <c r="AX18" s="936"/>
      <c r="AY18" s="936"/>
      <c r="AZ18" s="936"/>
      <c r="BA18" s="936"/>
      <c r="BB18" s="936"/>
      <c r="BC18" s="936"/>
      <c r="BD18" s="936"/>
      <c r="BE18" s="936"/>
      <c r="BF18" s="936"/>
      <c r="BG18" s="936"/>
      <c r="BH18" s="936"/>
      <c r="BI18" s="936"/>
      <c r="BJ18" s="936"/>
      <c r="BK18" s="936"/>
      <c r="BL18" s="936"/>
      <c r="BM18" s="936"/>
      <c r="BN18" s="936"/>
      <c r="BO18" s="936"/>
      <c r="BP18" s="936"/>
      <c r="BQ18" s="936"/>
      <c r="BR18" s="936"/>
      <c r="BS18" s="936"/>
      <c r="BT18" s="936"/>
      <c r="BU18" s="936"/>
      <c r="BV18" s="936"/>
      <c r="BW18" s="936"/>
      <c r="BX18" s="936"/>
      <c r="BY18" s="936"/>
      <c r="BZ18" s="936"/>
      <c r="CA18" s="936"/>
      <c r="CB18" s="936"/>
      <c r="CC18" s="936"/>
      <c r="CD18" s="936"/>
      <c r="CE18" s="936"/>
      <c r="CF18" s="936"/>
      <c r="CG18" s="936"/>
      <c r="CH18" s="936"/>
      <c r="CI18" s="936"/>
      <c r="CJ18" s="936"/>
      <c r="CK18" s="936"/>
      <c r="CL18" s="936"/>
      <c r="CM18" s="936"/>
      <c r="CN18" s="936"/>
      <c r="CO18" s="936"/>
      <c r="CP18" s="936"/>
      <c r="CQ18" s="936"/>
      <c r="CR18" s="936"/>
      <c r="CS18" s="936"/>
      <c r="CT18" s="936"/>
      <c r="CU18" s="936"/>
      <c r="CV18" s="936"/>
      <c r="CW18" s="936"/>
      <c r="CX18" s="936"/>
      <c r="CY18" s="936"/>
      <c r="CZ18" s="936"/>
      <c r="DA18" s="936"/>
      <c r="DB18" s="936"/>
      <c r="DC18" s="936"/>
      <c r="DD18" s="936"/>
      <c r="DE18" s="936"/>
      <c r="DF18" s="936"/>
      <c r="DG18" s="936"/>
      <c r="DH18" s="936"/>
      <c r="DI18" s="936"/>
      <c r="DJ18" s="936"/>
      <c r="DK18" s="936"/>
      <c r="DL18" s="936"/>
      <c r="DM18" s="936"/>
      <c r="DN18" s="936"/>
      <c r="DO18" s="936"/>
      <c r="DP18" s="936"/>
      <c r="DQ18" s="936"/>
      <c r="DR18" s="936"/>
      <c r="DS18" s="936"/>
      <c r="DT18" s="936"/>
      <c r="DU18" s="936"/>
      <c r="DV18" s="936"/>
      <c r="DW18" s="936"/>
      <c r="DX18" s="936"/>
      <c r="DY18" s="936"/>
      <c r="DZ18" s="936"/>
      <c r="EA18" s="936"/>
      <c r="EB18" s="936"/>
      <c r="EC18" s="936"/>
      <c r="ED18" s="936"/>
      <c r="EE18" s="936"/>
      <c r="EF18" s="936"/>
      <c r="EG18" s="936"/>
      <c r="EH18" s="936"/>
      <c r="EI18" s="936"/>
      <c r="EJ18" s="936"/>
      <c r="EK18" s="936"/>
      <c r="EL18" s="936"/>
      <c r="EM18" s="936"/>
      <c r="EN18" s="936"/>
      <c r="EO18" s="936"/>
      <c r="EP18" s="936"/>
      <c r="EQ18" s="936"/>
      <c r="ER18" s="936"/>
      <c r="ES18" s="936"/>
      <c r="ET18" s="936"/>
      <c r="EU18" s="936"/>
      <c r="EV18" s="936"/>
      <c r="EW18" s="936"/>
      <c r="EX18" s="936"/>
      <c r="EY18" s="936"/>
      <c r="EZ18" s="936"/>
      <c r="FA18" s="936"/>
      <c r="FB18" s="936"/>
      <c r="FC18" s="936"/>
      <c r="FD18" s="936"/>
      <c r="FE18" s="936"/>
      <c r="FF18" s="936"/>
      <c r="FG18" s="936"/>
      <c r="FH18" s="936"/>
      <c r="FI18" s="936"/>
      <c r="FJ18" s="936"/>
      <c r="FK18" s="936"/>
      <c r="FL18" s="936"/>
      <c r="FM18" s="936"/>
      <c r="FN18" s="936"/>
      <c r="FO18" s="936"/>
      <c r="FP18" s="936"/>
      <c r="FQ18" s="936"/>
      <c r="FR18" s="936"/>
      <c r="FS18" s="936"/>
      <c r="FT18" s="936"/>
      <c r="FU18" s="936"/>
      <c r="FV18" s="936"/>
      <c r="FW18" s="936"/>
      <c r="FX18" s="936"/>
      <c r="FY18" s="936"/>
      <c r="FZ18" s="936"/>
      <c r="GA18" s="936"/>
      <c r="GB18" s="936"/>
      <c r="GC18" s="936"/>
      <c r="GD18" s="936"/>
      <c r="GE18" s="936"/>
      <c r="GF18" s="936"/>
      <c r="GG18" s="936"/>
      <c r="GH18" s="936"/>
      <c r="GI18" s="936"/>
      <c r="GJ18" s="936"/>
      <c r="GK18" s="936"/>
      <c r="GL18" s="936"/>
      <c r="GM18" s="936"/>
      <c r="GN18" s="936"/>
      <c r="GO18" s="936"/>
      <c r="GP18" s="936"/>
      <c r="GQ18" s="936"/>
      <c r="GR18" s="936"/>
      <c r="GS18" s="936"/>
      <c r="GT18" s="936"/>
      <c r="GU18" s="936"/>
      <c r="GV18" s="936"/>
      <c r="GW18" s="936"/>
      <c r="GX18" s="936"/>
      <c r="GY18" s="936"/>
      <c r="GZ18" s="936"/>
      <c r="HA18" s="936"/>
      <c r="HB18" s="936"/>
      <c r="HC18" s="936"/>
      <c r="HD18" s="936"/>
      <c r="HE18" s="936"/>
      <c r="HF18" s="936"/>
      <c r="HG18" s="936"/>
      <c r="HH18" s="936"/>
      <c r="HI18" s="936"/>
      <c r="HJ18" s="936"/>
      <c r="HK18" s="936"/>
      <c r="HL18" s="936"/>
      <c r="HM18" s="936"/>
      <c r="HN18" s="936"/>
      <c r="HO18" s="936"/>
      <c r="HP18" s="936"/>
      <c r="HQ18" s="936"/>
      <c r="HR18" s="936"/>
      <c r="HS18" s="936"/>
      <c r="HT18" s="936"/>
      <c r="HU18" s="936"/>
      <c r="HV18" s="936"/>
      <c r="HW18" s="936"/>
      <c r="HX18" s="936"/>
      <c r="HY18" s="936"/>
      <c r="HZ18" s="936"/>
      <c r="IA18" s="936"/>
      <c r="IB18" s="936"/>
      <c r="IC18" s="936"/>
      <c r="ID18" s="936"/>
      <c r="IE18" s="936"/>
      <c r="IF18" s="936"/>
      <c r="IG18" s="936"/>
      <c r="IH18" s="936"/>
      <c r="II18" s="936"/>
      <c r="IJ18" s="936"/>
      <c r="IK18" s="936"/>
      <c r="IL18" s="936"/>
      <c r="IM18" s="936"/>
      <c r="IN18" s="936"/>
      <c r="IO18" s="936"/>
      <c r="IP18" s="936"/>
      <c r="IQ18" s="936"/>
      <c r="IR18" s="936"/>
      <c r="IS18" s="936"/>
      <c r="IT18" s="936"/>
      <c r="IU18" s="936"/>
      <c r="IV18" s="936"/>
      <c r="IW18" s="936"/>
      <c r="IX18" s="936"/>
      <c r="IY18" s="936"/>
      <c r="IZ18" s="936"/>
      <c r="JA18" s="936"/>
      <c r="JB18" s="936"/>
      <c r="JC18" s="936"/>
      <c r="JD18" s="936"/>
      <c r="JE18" s="936"/>
      <c r="JF18" s="936"/>
      <c r="JG18" s="936"/>
      <c r="JH18" s="936"/>
      <c r="JI18" s="936"/>
      <c r="JJ18" s="936"/>
      <c r="JK18" s="936"/>
      <c r="JL18" s="936"/>
      <c r="JM18" s="936"/>
      <c r="JN18" s="936"/>
      <c r="JO18" s="936"/>
      <c r="JP18" s="936"/>
      <c r="JQ18" s="936"/>
      <c r="JR18" s="936"/>
      <c r="JS18" s="936"/>
      <c r="JT18" s="936"/>
      <c r="JU18" s="936"/>
      <c r="JV18" s="936"/>
      <c r="JW18" s="936"/>
      <c r="JX18" s="936"/>
      <c r="JY18" s="936"/>
      <c r="JZ18" s="936"/>
      <c r="KA18" s="936"/>
      <c r="KB18" s="936"/>
      <c r="KC18" s="936"/>
      <c r="KD18" s="936"/>
      <c r="KE18" s="936"/>
      <c r="KF18" s="936"/>
      <c r="KG18" s="936"/>
      <c r="KH18" s="936"/>
      <c r="KI18" s="936"/>
      <c r="KJ18" s="936"/>
      <c r="KK18" s="936"/>
      <c r="KL18" s="936"/>
      <c r="KM18" s="936"/>
      <c r="KN18" s="936"/>
      <c r="KO18" s="936"/>
      <c r="KP18" s="936"/>
      <c r="KQ18" s="936"/>
      <c r="KR18" s="936"/>
      <c r="KS18" s="936"/>
      <c r="KT18" s="936"/>
      <c r="KU18" s="936"/>
      <c r="KV18" s="936"/>
      <c r="KW18" s="936"/>
      <c r="KX18" s="936"/>
      <c r="KY18" s="936"/>
      <c r="KZ18" s="936"/>
      <c r="LA18" s="936"/>
      <c r="LB18" s="936"/>
      <c r="LC18" s="936"/>
      <c r="LD18" s="936"/>
      <c r="LE18" s="936"/>
      <c r="LF18" s="936"/>
      <c r="LG18" s="936"/>
      <c r="LH18" s="936"/>
      <c r="LI18" s="936"/>
      <c r="LJ18" s="936"/>
      <c r="LK18" s="936"/>
      <c r="LL18" s="936"/>
      <c r="LM18" s="936"/>
      <c r="LN18" s="936"/>
      <c r="LO18" s="936"/>
      <c r="LP18" s="936"/>
      <c r="LQ18" s="936"/>
      <c r="LR18" s="936"/>
      <c r="LS18" s="936"/>
      <c r="LT18" s="936"/>
      <c r="LU18" s="936"/>
      <c r="LV18" s="936"/>
      <c r="LW18" s="936"/>
      <c r="LX18" s="936"/>
      <c r="LY18" s="936"/>
      <c r="LZ18" s="936"/>
      <c r="MA18" s="936"/>
      <c r="MB18" s="936"/>
      <c r="MC18" s="936"/>
      <c r="MD18" s="936"/>
      <c r="ME18" s="936"/>
      <c r="MF18" s="936"/>
      <c r="MG18" s="936"/>
      <c r="MH18" s="936"/>
      <c r="MI18" s="936"/>
      <c r="MJ18" s="936"/>
      <c r="MK18" s="936"/>
      <c r="ML18" s="936"/>
      <c r="MM18" s="936"/>
      <c r="MN18" s="936"/>
      <c r="MO18" s="936"/>
      <c r="MP18" s="936"/>
      <c r="MQ18" s="936"/>
      <c r="MR18" s="936"/>
      <c r="MS18" s="936"/>
      <c r="MT18" s="936"/>
      <c r="MU18" s="936"/>
      <c r="MV18" s="936"/>
      <c r="MW18" s="936"/>
      <c r="MX18" s="936"/>
      <c r="MY18" s="936"/>
      <c r="MZ18" s="936"/>
      <c r="NA18" s="936"/>
      <c r="NB18" s="936"/>
      <c r="NC18" s="936"/>
      <c r="ND18" s="936"/>
      <c r="NE18" s="936"/>
      <c r="NF18" s="936"/>
      <c r="NG18" s="936"/>
      <c r="NH18" s="936"/>
      <c r="NI18" s="936"/>
      <c r="NJ18" s="936"/>
      <c r="NK18" s="936"/>
      <c r="NL18" s="936"/>
      <c r="NM18" s="936"/>
      <c r="NN18" s="936"/>
      <c r="NO18" s="936"/>
      <c r="NP18" s="936"/>
      <c r="NQ18" s="936"/>
      <c r="NR18" s="936"/>
      <c r="NS18" s="936"/>
      <c r="NT18" s="936"/>
      <c r="NU18" s="936"/>
      <c r="NV18" s="936"/>
      <c r="NW18" s="936"/>
      <c r="NX18" s="936"/>
      <c r="NY18" s="936"/>
      <c r="NZ18" s="936"/>
      <c r="OA18" s="936"/>
      <c r="OB18" s="936"/>
      <c r="OC18" s="936"/>
      <c r="OD18" s="936"/>
      <c r="OE18" s="936"/>
      <c r="OF18" s="936"/>
      <c r="OG18" s="936"/>
      <c r="OH18" s="936"/>
      <c r="OI18" s="936"/>
      <c r="OJ18" s="936"/>
      <c r="OK18" s="936"/>
      <c r="OL18" s="936"/>
      <c r="OM18" s="936"/>
      <c r="ON18" s="936"/>
      <c r="OO18" s="936"/>
      <c r="OP18" s="936"/>
      <c r="OQ18" s="936"/>
      <c r="OR18" s="936"/>
      <c r="OS18" s="936"/>
      <c r="OT18" s="936"/>
      <c r="OU18" s="936"/>
      <c r="OV18" s="936"/>
      <c r="OW18" s="936"/>
      <c r="OX18" s="936"/>
      <c r="OY18" s="936"/>
      <c r="OZ18" s="936"/>
      <c r="PA18" s="936"/>
      <c r="PB18" s="936"/>
      <c r="PC18" s="936"/>
      <c r="PD18" s="936"/>
      <c r="PE18" s="936"/>
      <c r="PF18" s="936"/>
      <c r="PG18" s="936"/>
      <c r="PH18" s="936"/>
      <c r="PI18" s="936"/>
      <c r="PJ18" s="936"/>
      <c r="PK18" s="936"/>
      <c r="PL18" s="936"/>
      <c r="PM18" s="936"/>
      <c r="PN18" s="936"/>
      <c r="PO18" s="936"/>
      <c r="PP18" s="936"/>
      <c r="PQ18" s="936"/>
      <c r="PR18" s="936"/>
      <c r="PS18" s="936"/>
      <c r="PT18" s="936"/>
      <c r="PU18" s="936"/>
      <c r="PV18" s="936"/>
      <c r="PW18" s="936"/>
      <c r="PX18" s="936"/>
      <c r="PY18" s="936"/>
      <c r="PZ18" s="936"/>
      <c r="QA18" s="936"/>
      <c r="QB18" s="936"/>
      <c r="QC18" s="936"/>
      <c r="QD18" s="936"/>
      <c r="QE18" s="936"/>
      <c r="QF18" s="936"/>
      <c r="QG18" s="936"/>
      <c r="QH18" s="936"/>
      <c r="QI18" s="936"/>
      <c r="QJ18" s="936"/>
      <c r="QK18" s="936"/>
      <c r="QL18" s="936"/>
      <c r="QM18" s="936"/>
      <c r="QN18" s="936"/>
      <c r="QO18" s="936"/>
      <c r="QP18" s="936"/>
      <c r="QQ18" s="936"/>
      <c r="QR18" s="936"/>
      <c r="QS18" s="936"/>
      <c r="QT18" s="936"/>
      <c r="QU18" s="936"/>
      <c r="QV18" s="936"/>
      <c r="QW18" s="936"/>
      <c r="QX18" s="936"/>
      <c r="QY18" s="936"/>
      <c r="QZ18" s="936"/>
      <c r="RA18" s="936"/>
      <c r="RB18" s="936"/>
      <c r="RC18" s="936"/>
      <c r="RD18" s="936"/>
      <c r="RE18" s="936"/>
      <c r="RF18" s="936"/>
      <c r="RG18" s="936"/>
      <c r="RH18" s="936"/>
      <c r="RI18" s="936"/>
      <c r="RJ18" s="936"/>
      <c r="RK18" s="936"/>
      <c r="RL18" s="936"/>
      <c r="RM18" s="936"/>
      <c r="RN18" s="936"/>
      <c r="RO18" s="936"/>
      <c r="RP18" s="936"/>
      <c r="RQ18" s="936"/>
      <c r="RR18" s="936"/>
      <c r="RS18" s="936"/>
      <c r="RT18" s="936"/>
      <c r="RU18" s="936"/>
      <c r="RV18" s="936"/>
      <c r="RW18" s="936"/>
      <c r="RX18" s="936"/>
      <c r="RY18" s="936"/>
      <c r="RZ18" s="936"/>
      <c r="SA18" s="936"/>
      <c r="SB18" s="936"/>
      <c r="SC18" s="936"/>
      <c r="SD18" s="936"/>
      <c r="SE18" s="936"/>
      <c r="SF18" s="936"/>
      <c r="SG18" s="936"/>
      <c r="SH18" s="936"/>
      <c r="SI18" s="936"/>
      <c r="SJ18" s="936"/>
      <c r="SK18" s="936"/>
      <c r="SL18" s="936"/>
      <c r="SM18" s="936"/>
      <c r="SN18" s="936"/>
      <c r="SO18" s="936"/>
      <c r="SP18" s="936"/>
      <c r="SQ18" s="936"/>
      <c r="SR18" s="936"/>
      <c r="SS18" s="936"/>
      <c r="ST18" s="936"/>
      <c r="SU18" s="936"/>
      <c r="SV18" s="936"/>
      <c r="SW18" s="936"/>
      <c r="SX18" s="936"/>
      <c r="SY18" s="936"/>
      <c r="SZ18" s="936"/>
      <c r="TA18" s="936"/>
      <c r="TB18" s="936"/>
      <c r="TC18" s="936"/>
      <c r="TD18" s="936"/>
      <c r="TE18" s="936"/>
      <c r="TF18" s="936"/>
      <c r="TG18" s="936"/>
      <c r="TH18" s="936"/>
      <c r="TI18" s="936"/>
      <c r="TJ18" s="936"/>
      <c r="TK18" s="936"/>
      <c r="TL18" s="936"/>
      <c r="TM18" s="936"/>
      <c r="TN18" s="936"/>
      <c r="TO18" s="936"/>
      <c r="TP18" s="936"/>
      <c r="TQ18" s="936"/>
      <c r="TR18" s="936"/>
      <c r="TS18" s="936"/>
      <c r="TT18" s="936"/>
      <c r="TU18" s="936"/>
      <c r="TV18" s="936"/>
      <c r="TW18" s="936"/>
      <c r="TX18" s="936"/>
      <c r="TY18" s="936"/>
      <c r="TZ18" s="936"/>
      <c r="UA18" s="936"/>
      <c r="UB18" s="936"/>
      <c r="UC18" s="936"/>
      <c r="UD18" s="936"/>
      <c r="UE18" s="936"/>
      <c r="UF18" s="936"/>
      <c r="UG18" s="936"/>
      <c r="UH18" s="936"/>
      <c r="UI18" s="936"/>
      <c r="UJ18" s="936"/>
      <c r="UK18" s="936"/>
      <c r="UL18" s="936"/>
      <c r="UM18" s="936"/>
      <c r="UN18" s="936"/>
      <c r="UO18" s="936"/>
      <c r="UP18" s="936"/>
      <c r="UQ18" s="936"/>
      <c r="UR18" s="936"/>
      <c r="US18" s="936"/>
      <c r="UT18" s="936"/>
      <c r="UU18" s="936"/>
      <c r="UV18" s="936"/>
      <c r="UW18" s="936"/>
      <c r="UX18" s="936"/>
      <c r="UY18" s="936"/>
      <c r="UZ18" s="936"/>
      <c r="VA18" s="936"/>
      <c r="VB18" s="936"/>
      <c r="VC18" s="936"/>
      <c r="VD18" s="936"/>
      <c r="VE18" s="936"/>
      <c r="VF18" s="936"/>
      <c r="VG18" s="936"/>
      <c r="VH18" s="936"/>
      <c r="VI18" s="936"/>
      <c r="VJ18" s="936"/>
      <c r="VK18" s="936"/>
      <c r="VL18" s="936"/>
      <c r="VM18" s="936"/>
      <c r="VN18" s="936"/>
      <c r="VO18" s="936"/>
      <c r="VP18" s="936"/>
      <c r="VQ18" s="936"/>
      <c r="VR18" s="936"/>
      <c r="VS18" s="936"/>
      <c r="VT18" s="936"/>
      <c r="VU18" s="936"/>
      <c r="VV18" s="936"/>
      <c r="VW18" s="936"/>
      <c r="VX18" s="936"/>
      <c r="VY18" s="936"/>
      <c r="VZ18" s="936"/>
      <c r="WA18" s="936"/>
      <c r="WB18" s="936"/>
      <c r="WC18" s="936"/>
      <c r="WD18" s="936"/>
      <c r="WE18" s="936"/>
      <c r="WF18" s="936"/>
      <c r="WG18" s="936"/>
      <c r="WH18" s="936"/>
      <c r="WI18" s="936"/>
      <c r="WJ18" s="936"/>
      <c r="WK18" s="936"/>
      <c r="WL18" s="936"/>
      <c r="WM18" s="936"/>
      <c r="WN18" s="936"/>
      <c r="WO18" s="936"/>
      <c r="WP18" s="936"/>
      <c r="WQ18" s="936"/>
      <c r="WR18" s="936"/>
      <c r="WS18" s="936"/>
      <c r="WT18" s="936"/>
      <c r="WU18" s="936"/>
      <c r="WV18" s="936"/>
      <c r="WW18" s="936"/>
      <c r="WX18" s="936"/>
      <c r="WY18" s="936"/>
      <c r="WZ18" s="936"/>
      <c r="XA18" s="936"/>
      <c r="XB18" s="936"/>
      <c r="XC18" s="936"/>
      <c r="XD18" s="936"/>
      <c r="XE18" s="936"/>
      <c r="XF18" s="936"/>
      <c r="XG18" s="936"/>
      <c r="XH18" s="936"/>
      <c r="XI18" s="936"/>
      <c r="XJ18" s="936"/>
      <c r="XK18" s="936"/>
      <c r="XL18" s="936"/>
      <c r="XM18" s="936"/>
      <c r="XN18" s="936"/>
      <c r="XO18" s="936"/>
      <c r="XP18" s="936"/>
      <c r="XQ18" s="936"/>
      <c r="XR18" s="936"/>
      <c r="XS18" s="936"/>
      <c r="XT18" s="936"/>
      <c r="XU18" s="936"/>
      <c r="XV18" s="936"/>
      <c r="XW18" s="936"/>
      <c r="XX18" s="936"/>
      <c r="XY18" s="936"/>
      <c r="XZ18" s="936"/>
      <c r="YA18" s="936"/>
      <c r="YB18" s="936"/>
      <c r="YC18" s="936"/>
      <c r="YD18" s="936"/>
      <c r="YE18" s="936"/>
      <c r="YF18" s="936"/>
      <c r="YG18" s="936"/>
      <c r="YH18" s="936"/>
      <c r="YI18" s="936"/>
      <c r="YJ18" s="936"/>
      <c r="YK18" s="936"/>
      <c r="YL18" s="936"/>
      <c r="YM18" s="936"/>
      <c r="YN18" s="936"/>
      <c r="YO18" s="936"/>
      <c r="YP18" s="936"/>
      <c r="YQ18" s="936"/>
      <c r="YR18" s="936"/>
      <c r="YS18" s="936"/>
      <c r="YT18" s="936"/>
      <c r="YU18" s="936"/>
      <c r="YV18" s="936"/>
      <c r="YW18" s="936"/>
      <c r="YX18" s="936"/>
      <c r="YY18" s="936"/>
      <c r="YZ18" s="936"/>
      <c r="ZA18" s="936"/>
      <c r="ZB18" s="936"/>
      <c r="ZC18" s="936"/>
      <c r="ZD18" s="936"/>
      <c r="ZE18" s="936"/>
      <c r="ZF18" s="936"/>
      <c r="ZG18" s="936"/>
      <c r="ZH18" s="936"/>
      <c r="ZI18" s="936"/>
      <c r="ZJ18" s="936"/>
      <c r="ZK18" s="936"/>
      <c r="ZL18" s="936"/>
      <c r="ZM18" s="936"/>
      <c r="ZN18" s="936"/>
      <c r="ZO18" s="936"/>
      <c r="ZP18" s="936"/>
      <c r="ZQ18" s="936"/>
      <c r="ZR18" s="936"/>
      <c r="ZS18" s="936"/>
      <c r="ZT18" s="936"/>
      <c r="ZU18" s="936"/>
      <c r="ZV18" s="936"/>
      <c r="ZW18" s="936"/>
      <c r="ZX18" s="936"/>
      <c r="ZY18" s="936"/>
      <c r="ZZ18" s="936"/>
      <c r="AAA18" s="936"/>
      <c r="AAB18" s="936"/>
      <c r="AAC18" s="936"/>
      <c r="AAD18" s="936"/>
      <c r="AAE18" s="936"/>
      <c r="AAF18" s="936"/>
      <c r="AAG18" s="936"/>
      <c r="AAH18" s="936"/>
      <c r="AAI18" s="936"/>
      <c r="AAJ18" s="936"/>
      <c r="AAK18" s="936"/>
      <c r="AAL18" s="936"/>
      <c r="AAM18" s="936"/>
      <c r="AAN18" s="936"/>
      <c r="AAO18" s="936"/>
      <c r="AAP18" s="936"/>
      <c r="AAQ18" s="936"/>
      <c r="AAR18" s="936"/>
      <c r="AAS18" s="936"/>
      <c r="AAT18" s="936"/>
      <c r="AAU18" s="936"/>
      <c r="AAV18" s="936"/>
      <c r="AAW18" s="936"/>
      <c r="AAX18" s="936"/>
      <c r="AAY18" s="936"/>
      <c r="AAZ18" s="936"/>
      <c r="ABA18" s="936"/>
      <c r="ABB18" s="936"/>
      <c r="ABC18" s="936"/>
      <c r="ABD18" s="936"/>
      <c r="ABE18" s="936"/>
      <c r="ABF18" s="936"/>
      <c r="ABG18" s="936"/>
      <c r="ABH18" s="936"/>
      <c r="ABI18" s="936"/>
      <c r="ABJ18" s="936"/>
      <c r="ABK18" s="936"/>
      <c r="ABL18" s="936"/>
      <c r="ABM18" s="936"/>
      <c r="ABN18" s="936"/>
      <c r="ABO18" s="936"/>
      <c r="ABP18" s="936"/>
      <c r="ABQ18" s="936"/>
      <c r="ABR18" s="936"/>
      <c r="ABS18" s="936"/>
      <c r="ABT18" s="936"/>
      <c r="ABU18" s="936"/>
      <c r="ABV18" s="936"/>
      <c r="ABW18" s="936"/>
      <c r="ABX18" s="936"/>
      <c r="ABY18" s="936"/>
      <c r="ABZ18" s="936"/>
      <c r="ACA18" s="936"/>
      <c r="ACB18" s="936"/>
      <c r="ACC18" s="936"/>
      <c r="ACD18" s="936"/>
      <c r="ACE18" s="936"/>
      <c r="ACF18" s="936"/>
      <c r="ACG18" s="936"/>
      <c r="ACH18" s="936"/>
      <c r="ACI18" s="936"/>
      <c r="ACJ18" s="936"/>
      <c r="ACK18" s="936"/>
      <c r="ACL18" s="936"/>
      <c r="ACM18" s="936"/>
      <c r="ACN18" s="936"/>
      <c r="ACO18" s="936"/>
      <c r="ACP18" s="936"/>
      <c r="ACQ18" s="936"/>
      <c r="ACR18" s="936"/>
      <c r="ACS18" s="936"/>
      <c r="ACT18" s="936"/>
      <c r="ACU18" s="936"/>
      <c r="ACV18" s="936"/>
      <c r="ACW18" s="936"/>
      <c r="ACX18" s="936"/>
      <c r="ACY18" s="936"/>
      <c r="ACZ18" s="936"/>
      <c r="ADA18" s="936"/>
      <c r="ADB18" s="936"/>
      <c r="ADC18" s="936"/>
      <c r="ADD18" s="936"/>
      <c r="ADE18" s="936"/>
      <c r="ADF18" s="936"/>
      <c r="ADG18" s="936"/>
      <c r="ADH18" s="936"/>
      <c r="ADI18" s="936"/>
      <c r="ADJ18" s="936"/>
      <c r="ADK18" s="936"/>
      <c r="ADL18" s="936"/>
      <c r="ADM18" s="936"/>
      <c r="ADN18" s="936"/>
      <c r="ADO18" s="936"/>
      <c r="ADP18" s="936"/>
      <c r="ADQ18" s="936"/>
      <c r="ADR18" s="936"/>
      <c r="ADS18" s="936"/>
      <c r="ADT18" s="936"/>
      <c r="ADU18" s="936"/>
      <c r="ADV18" s="936"/>
      <c r="ADW18" s="936"/>
      <c r="ADX18" s="936"/>
      <c r="ADY18" s="936"/>
      <c r="ADZ18" s="936"/>
      <c r="AEA18" s="936"/>
      <c r="AEB18" s="936"/>
      <c r="AEC18" s="936"/>
      <c r="AED18" s="936"/>
      <c r="AEE18" s="936"/>
      <c r="AEF18" s="936"/>
      <c r="AEG18" s="936"/>
      <c r="AEH18" s="936"/>
      <c r="AEI18" s="936"/>
      <c r="AEJ18" s="936"/>
      <c r="AEK18" s="936"/>
      <c r="AEL18" s="936"/>
      <c r="AEM18" s="936"/>
      <c r="AEN18" s="936"/>
      <c r="AEO18" s="936"/>
      <c r="AEP18" s="936"/>
      <c r="AEQ18" s="936"/>
      <c r="AER18" s="936"/>
      <c r="AES18" s="936"/>
      <c r="AET18" s="936"/>
      <c r="AEU18" s="936"/>
      <c r="AEV18" s="936"/>
      <c r="AEW18" s="936"/>
      <c r="AEX18" s="936"/>
      <c r="AEY18" s="936"/>
      <c r="AEZ18" s="936"/>
      <c r="AFA18" s="936"/>
      <c r="AFB18" s="936"/>
      <c r="AFC18" s="936"/>
      <c r="AFD18" s="936"/>
      <c r="AFE18" s="936"/>
      <c r="AFF18" s="936"/>
      <c r="AFG18" s="936"/>
      <c r="AFH18" s="936"/>
      <c r="AFI18" s="936"/>
      <c r="AFJ18" s="936"/>
      <c r="AFK18" s="936"/>
      <c r="AFL18" s="936"/>
      <c r="AFM18" s="936"/>
      <c r="AFN18" s="936"/>
      <c r="AFO18" s="936"/>
      <c r="AFP18" s="936"/>
      <c r="AFQ18" s="936"/>
      <c r="AFR18" s="936"/>
      <c r="AFS18" s="936"/>
      <c r="AFT18" s="936"/>
      <c r="AFU18" s="936"/>
      <c r="AFV18" s="936"/>
      <c r="AFW18" s="936"/>
      <c r="AFX18" s="936"/>
      <c r="AFY18" s="936"/>
      <c r="AFZ18" s="936"/>
      <c r="AGA18" s="936"/>
      <c r="AGB18" s="936"/>
      <c r="AGC18" s="936"/>
      <c r="AGD18" s="936"/>
      <c r="AGE18" s="936"/>
      <c r="AGF18" s="936"/>
      <c r="AGG18" s="936"/>
      <c r="AGH18" s="936"/>
      <c r="AGI18" s="936"/>
      <c r="AGJ18" s="936"/>
      <c r="AGK18" s="936"/>
      <c r="AGL18" s="936"/>
      <c r="AGM18" s="936"/>
      <c r="AGN18" s="936"/>
      <c r="AGO18" s="936"/>
      <c r="AGP18" s="936"/>
      <c r="AGQ18" s="936"/>
      <c r="AGR18" s="936"/>
      <c r="AGS18" s="936"/>
      <c r="AGT18" s="936"/>
      <c r="AGU18" s="936"/>
      <c r="AGV18" s="936"/>
      <c r="AGW18" s="936"/>
      <c r="AGX18" s="936"/>
      <c r="AGY18" s="936"/>
      <c r="AGZ18" s="936"/>
      <c r="AHA18" s="936"/>
      <c r="AHB18" s="936"/>
      <c r="AHC18" s="936"/>
      <c r="AHD18" s="936"/>
      <c r="AHE18" s="936"/>
      <c r="AHF18" s="936"/>
      <c r="AHG18" s="936"/>
      <c r="AHH18" s="936"/>
      <c r="AHI18" s="936"/>
      <c r="AHJ18" s="936"/>
      <c r="AHK18" s="936"/>
      <c r="AHL18" s="936"/>
      <c r="AHM18" s="936"/>
      <c r="AHN18" s="936"/>
      <c r="AHO18" s="936"/>
      <c r="AHP18" s="936"/>
      <c r="AHQ18" s="936"/>
      <c r="AHR18" s="936"/>
      <c r="AHS18" s="936"/>
      <c r="AHT18" s="936"/>
      <c r="AHU18" s="936"/>
      <c r="AHV18" s="936"/>
      <c r="AHW18" s="936"/>
      <c r="AHX18" s="936"/>
      <c r="AHY18" s="936"/>
      <c r="AHZ18" s="936"/>
      <c r="AIA18" s="936"/>
      <c r="AIB18" s="936"/>
      <c r="AIC18" s="936"/>
      <c r="AID18" s="936"/>
      <c r="AIE18" s="936"/>
      <c r="AIF18" s="936"/>
      <c r="AIG18" s="936"/>
      <c r="AIH18" s="936"/>
      <c r="AII18" s="936"/>
      <c r="AIJ18" s="936"/>
      <c r="AIK18" s="936"/>
      <c r="AIL18" s="936"/>
      <c r="AIM18" s="936"/>
      <c r="AIN18" s="936"/>
      <c r="AIO18" s="936"/>
      <c r="AIP18" s="936"/>
      <c r="AIQ18" s="936"/>
      <c r="AIR18" s="936"/>
      <c r="AIS18" s="936"/>
      <c r="AIT18" s="936"/>
      <c r="AIU18" s="936"/>
      <c r="AIV18" s="936"/>
      <c r="AIW18" s="936"/>
      <c r="AIX18" s="936"/>
      <c r="AIY18" s="936"/>
      <c r="AIZ18" s="936"/>
      <c r="AJA18" s="936"/>
      <c r="AJB18" s="936"/>
      <c r="AJC18" s="936"/>
      <c r="AJD18" s="936"/>
      <c r="AJE18" s="936"/>
      <c r="AJF18" s="936"/>
      <c r="AJG18" s="936"/>
      <c r="AJH18" s="936"/>
      <c r="AJI18" s="936"/>
      <c r="AJJ18" s="936"/>
      <c r="AJK18" s="936"/>
      <c r="AJL18" s="936"/>
      <c r="AJM18" s="936"/>
      <c r="AJN18" s="936"/>
      <c r="AJO18" s="936"/>
      <c r="AJP18" s="936"/>
      <c r="AJQ18" s="936"/>
      <c r="AJR18" s="936"/>
      <c r="AJS18" s="936"/>
      <c r="AJT18" s="936"/>
      <c r="AJU18" s="936"/>
      <c r="AJV18" s="936"/>
      <c r="AJW18" s="936"/>
      <c r="AJX18" s="936"/>
      <c r="AJY18" s="936"/>
      <c r="AJZ18" s="936"/>
      <c r="AKA18" s="936"/>
      <c r="AKB18" s="936"/>
      <c r="AKC18" s="936"/>
      <c r="AKD18" s="936"/>
      <c r="AKE18" s="936"/>
      <c r="AKF18" s="936"/>
      <c r="AKG18" s="936"/>
      <c r="AKH18" s="936"/>
      <c r="AKI18" s="936"/>
      <c r="AKJ18" s="936"/>
      <c r="AKK18" s="936"/>
      <c r="AKL18" s="936"/>
      <c r="AKM18" s="936"/>
      <c r="AKN18" s="936"/>
      <c r="AKO18" s="936"/>
      <c r="AKP18" s="936"/>
      <c r="AKQ18" s="936"/>
      <c r="AKR18" s="936"/>
      <c r="AKS18" s="936"/>
      <c r="AKT18" s="936"/>
      <c r="AKU18" s="936"/>
      <c r="AKV18" s="936"/>
      <c r="AKW18" s="936"/>
      <c r="AKX18" s="936"/>
      <c r="AKY18" s="936"/>
      <c r="AKZ18" s="936"/>
      <c r="ALA18" s="936"/>
      <c r="ALB18" s="936"/>
      <c r="ALC18" s="936"/>
      <c r="ALD18" s="936"/>
      <c r="ALE18" s="936"/>
      <c r="ALF18" s="936"/>
      <c r="ALG18" s="936"/>
      <c r="ALH18" s="936"/>
      <c r="ALI18" s="936"/>
      <c r="ALJ18" s="936"/>
      <c r="ALK18" s="936"/>
      <c r="ALL18" s="936"/>
      <c r="ALM18" s="936"/>
      <c r="ALN18" s="936"/>
      <c r="ALO18" s="936"/>
      <c r="ALP18" s="936"/>
      <c r="ALQ18" s="936"/>
      <c r="ALR18" s="936"/>
      <c r="ALS18" s="936"/>
      <c r="ALT18" s="936"/>
      <c r="ALU18" s="936"/>
      <c r="ALV18" s="936"/>
      <c r="ALW18" s="936"/>
      <c r="ALX18" s="936"/>
      <c r="ALY18" s="936"/>
      <c r="ALZ18" s="936"/>
      <c r="AMA18" s="936"/>
      <c r="AMB18" s="936"/>
      <c r="AMC18" s="936"/>
      <c r="AMD18" s="936"/>
      <c r="AME18" s="936"/>
      <c r="AMF18" s="936"/>
      <c r="AMG18" s="936"/>
      <c r="AMH18" s="936"/>
      <c r="AMI18" s="936"/>
      <c r="AMJ18" s="936"/>
      <c r="AMK18" s="936"/>
      <c r="AML18" s="936"/>
      <c r="AMM18" s="936"/>
      <c r="AMN18" s="936"/>
      <c r="AMO18" s="936"/>
      <c r="AMP18" s="936"/>
      <c r="AMQ18" s="936"/>
      <c r="AMR18" s="936"/>
      <c r="AMS18" s="936"/>
      <c r="AMT18" s="936"/>
      <c r="AMU18" s="936"/>
      <c r="AMV18" s="936"/>
      <c r="AMW18" s="936"/>
      <c r="AMX18" s="936"/>
      <c r="AMY18" s="936"/>
      <c r="AMZ18" s="936"/>
      <c r="ANA18" s="936"/>
      <c r="ANB18" s="936"/>
      <c r="ANC18" s="936"/>
      <c r="AND18" s="936"/>
      <c r="ANE18" s="936"/>
      <c r="ANF18" s="936"/>
      <c r="ANG18" s="936"/>
      <c r="ANH18" s="936"/>
      <c r="ANI18" s="936"/>
      <c r="ANJ18" s="936"/>
      <c r="ANK18" s="936"/>
      <c r="ANL18" s="936"/>
      <c r="ANM18" s="936"/>
      <c r="ANN18" s="936"/>
      <c r="ANO18" s="936"/>
      <c r="ANP18" s="936"/>
      <c r="ANQ18" s="936"/>
      <c r="ANR18" s="936"/>
      <c r="ANS18" s="936"/>
      <c r="ANT18" s="936"/>
      <c r="ANU18" s="936"/>
      <c r="ANV18" s="936"/>
      <c r="ANW18" s="936"/>
      <c r="ANX18" s="936"/>
      <c r="ANY18" s="936"/>
      <c r="ANZ18" s="936"/>
      <c r="AOA18" s="936"/>
      <c r="AOB18" s="936"/>
      <c r="AOC18" s="936"/>
      <c r="AOD18" s="936"/>
      <c r="AOE18" s="936"/>
      <c r="AOF18" s="936"/>
      <c r="AOG18" s="936"/>
      <c r="AOH18" s="936"/>
      <c r="AOI18" s="936"/>
      <c r="AOJ18" s="936"/>
      <c r="AOK18" s="936"/>
      <c r="AOL18" s="936"/>
      <c r="AOM18" s="936"/>
      <c r="AON18" s="936"/>
      <c r="AOO18" s="936"/>
      <c r="AOP18" s="936"/>
      <c r="AOQ18" s="936"/>
      <c r="AOR18" s="936"/>
      <c r="AOS18" s="936"/>
      <c r="AOT18" s="936"/>
      <c r="AOU18" s="936"/>
      <c r="AOV18" s="936"/>
      <c r="AOW18" s="936"/>
      <c r="AOX18" s="936"/>
      <c r="AOY18" s="936"/>
      <c r="AOZ18" s="936"/>
      <c r="APA18" s="936"/>
      <c r="APB18" s="936"/>
      <c r="APC18" s="936"/>
      <c r="APD18" s="936"/>
      <c r="APE18" s="936"/>
      <c r="APF18" s="936"/>
      <c r="APG18" s="936"/>
      <c r="APH18" s="936"/>
      <c r="API18" s="936"/>
      <c r="APJ18" s="936"/>
      <c r="APK18" s="936"/>
      <c r="APL18" s="936"/>
      <c r="APM18" s="936"/>
      <c r="APN18" s="936"/>
      <c r="APO18" s="936"/>
      <c r="APP18" s="936"/>
      <c r="APQ18" s="936"/>
      <c r="APR18" s="936"/>
      <c r="APS18" s="936"/>
      <c r="APT18" s="936"/>
      <c r="APU18" s="936"/>
      <c r="APV18" s="936"/>
      <c r="APW18" s="936"/>
      <c r="APX18" s="936"/>
      <c r="APY18" s="936"/>
      <c r="APZ18" s="936"/>
      <c r="AQA18" s="936"/>
      <c r="AQB18" s="936"/>
      <c r="AQC18" s="936"/>
      <c r="AQD18" s="936"/>
      <c r="AQE18" s="936"/>
      <c r="AQF18" s="936"/>
      <c r="AQG18" s="936"/>
      <c r="AQH18" s="936"/>
      <c r="AQI18" s="936"/>
      <c r="AQJ18" s="936"/>
      <c r="AQK18" s="936"/>
      <c r="AQL18" s="936"/>
      <c r="AQM18" s="936"/>
      <c r="AQN18" s="936"/>
      <c r="AQO18" s="936"/>
      <c r="AQP18" s="936"/>
      <c r="AQQ18" s="936"/>
      <c r="AQR18" s="936"/>
      <c r="AQS18" s="936"/>
      <c r="AQT18" s="936"/>
      <c r="AQU18" s="936"/>
      <c r="AQV18" s="936"/>
      <c r="AQW18" s="936"/>
      <c r="AQX18" s="936"/>
      <c r="AQY18" s="936"/>
      <c r="AQZ18" s="936"/>
      <c r="ARA18" s="936"/>
      <c r="ARB18" s="936"/>
      <c r="ARC18" s="936"/>
      <c r="ARD18" s="936"/>
      <c r="ARE18" s="936"/>
      <c r="ARF18" s="936"/>
      <c r="ARG18" s="936"/>
      <c r="ARH18" s="936"/>
      <c r="ARI18" s="936"/>
      <c r="ARJ18" s="936"/>
      <c r="ARK18" s="936"/>
      <c r="ARL18" s="936"/>
      <c r="ARM18" s="936"/>
      <c r="ARN18" s="936"/>
      <c r="ARO18" s="936"/>
      <c r="ARP18" s="936"/>
      <c r="ARQ18" s="936"/>
      <c r="ARR18" s="936"/>
      <c r="ARS18" s="936"/>
      <c r="ART18" s="936"/>
      <c r="ARU18" s="936"/>
      <c r="ARV18" s="936"/>
      <c r="ARW18" s="936"/>
      <c r="ARX18" s="936"/>
      <c r="ARY18" s="936"/>
      <c r="ARZ18" s="936"/>
      <c r="ASA18" s="936"/>
      <c r="ASB18" s="936"/>
      <c r="ASC18" s="936"/>
      <c r="ASD18" s="936"/>
      <c r="ASE18" s="936"/>
      <c r="ASF18" s="936"/>
      <c r="ASG18" s="936"/>
      <c r="ASH18" s="936"/>
      <c r="ASI18" s="936"/>
      <c r="ASJ18" s="936"/>
      <c r="ASK18" s="936"/>
      <c r="ASL18" s="936"/>
      <c r="ASM18" s="936"/>
      <c r="ASN18" s="936"/>
      <c r="ASO18" s="936"/>
      <c r="ASP18" s="936"/>
      <c r="ASQ18" s="936"/>
      <c r="ASR18" s="936"/>
      <c r="ASS18" s="936"/>
      <c r="AST18" s="936"/>
      <c r="ASU18" s="936"/>
      <c r="ASV18" s="936"/>
      <c r="ASW18" s="936"/>
      <c r="ASX18" s="936"/>
      <c r="ASY18" s="936"/>
      <c r="ASZ18" s="936"/>
      <c r="ATA18" s="936"/>
      <c r="ATB18" s="936"/>
      <c r="ATC18" s="936"/>
      <c r="ATD18" s="936"/>
      <c r="ATE18" s="936"/>
      <c r="ATF18" s="936"/>
      <c r="ATG18" s="936"/>
      <c r="ATH18" s="936"/>
      <c r="ATI18" s="936"/>
      <c r="ATJ18" s="936"/>
      <c r="ATK18" s="936"/>
      <c r="ATL18" s="936"/>
      <c r="ATM18" s="936"/>
      <c r="ATN18" s="936"/>
      <c r="ATO18" s="936"/>
      <c r="ATP18" s="936"/>
      <c r="ATQ18" s="936"/>
      <c r="ATR18" s="936"/>
      <c r="ATS18" s="936"/>
      <c r="ATT18" s="936"/>
      <c r="ATU18" s="936"/>
      <c r="ATV18" s="936"/>
      <c r="ATW18" s="936"/>
      <c r="ATX18" s="936"/>
      <c r="ATY18" s="936"/>
      <c r="ATZ18" s="936"/>
      <c r="AUA18" s="936"/>
      <c r="AUB18" s="936"/>
      <c r="AUC18" s="936"/>
      <c r="AUD18" s="936"/>
      <c r="AUE18" s="936"/>
      <c r="AUF18" s="936"/>
      <c r="AUG18" s="936"/>
      <c r="AUH18" s="936"/>
      <c r="AUI18" s="936"/>
      <c r="AUJ18" s="936"/>
      <c r="AUK18" s="936"/>
      <c r="AUL18" s="936"/>
      <c r="AUM18" s="936"/>
      <c r="AUN18" s="936"/>
      <c r="AUO18" s="936"/>
      <c r="AUP18" s="936"/>
      <c r="AUQ18" s="936"/>
      <c r="AUR18" s="936"/>
      <c r="AUS18" s="936"/>
      <c r="AUT18" s="936"/>
      <c r="AUU18" s="936"/>
      <c r="AUV18" s="936"/>
      <c r="AUW18" s="936"/>
      <c r="AUX18" s="936"/>
      <c r="AUY18" s="936"/>
      <c r="AUZ18" s="936"/>
      <c r="AVA18" s="936"/>
      <c r="AVB18" s="936"/>
      <c r="AVC18" s="936"/>
      <c r="AVD18" s="936"/>
      <c r="AVE18" s="936"/>
      <c r="AVF18" s="936"/>
      <c r="AVG18" s="936"/>
      <c r="AVH18" s="936"/>
      <c r="AVI18" s="936"/>
      <c r="AVJ18" s="936"/>
      <c r="AVK18" s="936"/>
      <c r="AVL18" s="936"/>
      <c r="AVM18" s="936"/>
      <c r="AVN18" s="936"/>
      <c r="AVO18" s="936"/>
      <c r="AVP18" s="936"/>
      <c r="AVQ18" s="936"/>
      <c r="AVR18" s="936"/>
      <c r="AVS18" s="936"/>
      <c r="AVT18" s="936"/>
      <c r="AVU18" s="936"/>
      <c r="AVV18" s="936"/>
      <c r="AVW18" s="936"/>
      <c r="AVX18" s="936"/>
      <c r="AVY18" s="936"/>
      <c r="AVZ18" s="936"/>
      <c r="AWA18" s="936"/>
      <c r="AWB18" s="936"/>
      <c r="AWC18" s="936"/>
      <c r="AWD18" s="936"/>
      <c r="AWE18" s="936"/>
      <c r="AWF18" s="936"/>
      <c r="AWG18" s="936"/>
      <c r="AWH18" s="936"/>
      <c r="AWI18" s="936"/>
      <c r="AWJ18" s="936"/>
      <c r="AWK18" s="936"/>
      <c r="AWL18" s="936"/>
      <c r="AWM18" s="936"/>
      <c r="AWN18" s="936"/>
      <c r="AWO18" s="936"/>
      <c r="AWP18" s="936"/>
      <c r="AWQ18" s="936"/>
      <c r="AWR18" s="936"/>
      <c r="AWS18" s="936"/>
      <c r="AWT18" s="936"/>
      <c r="AWU18" s="936"/>
      <c r="AWV18" s="936"/>
      <c r="AWW18" s="936"/>
      <c r="AWX18" s="936"/>
      <c r="AWY18" s="936"/>
      <c r="AWZ18" s="936"/>
      <c r="AXA18" s="936"/>
      <c r="AXB18" s="936"/>
      <c r="AXC18" s="936"/>
      <c r="AXD18" s="936"/>
      <c r="AXE18" s="936"/>
      <c r="AXF18" s="936"/>
      <c r="AXG18" s="936"/>
      <c r="AXH18" s="936"/>
      <c r="AXI18" s="936"/>
      <c r="AXJ18" s="936"/>
      <c r="AXK18" s="936"/>
      <c r="AXL18" s="936"/>
      <c r="AXM18" s="936"/>
      <c r="AXN18" s="936"/>
      <c r="AXO18" s="936"/>
      <c r="AXP18" s="936"/>
      <c r="AXQ18" s="936"/>
      <c r="AXR18" s="936"/>
      <c r="AXS18" s="936"/>
      <c r="AXT18" s="936"/>
      <c r="AXU18" s="936"/>
      <c r="AXV18" s="936"/>
      <c r="AXW18" s="936"/>
      <c r="AXX18" s="936"/>
      <c r="AXY18" s="936"/>
      <c r="AXZ18" s="936"/>
      <c r="AYA18" s="936"/>
      <c r="AYB18" s="936"/>
      <c r="AYC18" s="936"/>
      <c r="AYD18" s="936"/>
      <c r="AYE18" s="936"/>
      <c r="AYF18" s="936"/>
      <c r="AYG18" s="936"/>
      <c r="AYH18" s="936"/>
      <c r="AYI18" s="936"/>
      <c r="AYJ18" s="936"/>
      <c r="AYK18" s="936"/>
      <c r="AYL18" s="936"/>
      <c r="AYM18" s="936"/>
      <c r="AYN18" s="936"/>
      <c r="AYO18" s="936"/>
      <c r="AYP18" s="936"/>
      <c r="AYQ18" s="936"/>
      <c r="AYR18" s="936"/>
      <c r="AYS18" s="936"/>
      <c r="AYT18" s="936"/>
      <c r="AYU18" s="936"/>
      <c r="AYV18" s="936"/>
      <c r="AYW18" s="936"/>
      <c r="AYX18" s="936"/>
      <c r="AYY18" s="936"/>
      <c r="AYZ18" s="936"/>
      <c r="AZA18" s="936"/>
      <c r="AZB18" s="936"/>
      <c r="AZC18" s="936"/>
      <c r="AZD18" s="936"/>
      <c r="AZE18" s="936"/>
      <c r="AZF18" s="936"/>
      <c r="AZG18" s="936"/>
      <c r="AZH18" s="936"/>
      <c r="AZI18" s="936"/>
      <c r="AZJ18" s="936"/>
      <c r="AZK18" s="936"/>
      <c r="AZL18" s="936"/>
      <c r="AZM18" s="936"/>
      <c r="AZN18" s="936"/>
      <c r="AZO18" s="936"/>
      <c r="AZP18" s="936"/>
      <c r="AZQ18" s="936"/>
      <c r="AZR18" s="936"/>
      <c r="AZS18" s="936"/>
      <c r="AZT18" s="936"/>
      <c r="AZU18" s="936"/>
      <c r="AZV18" s="936"/>
      <c r="AZW18" s="936"/>
      <c r="AZX18" s="936"/>
      <c r="AZY18" s="936"/>
      <c r="AZZ18" s="936"/>
      <c r="BAA18" s="936"/>
      <c r="BAB18" s="936"/>
      <c r="BAC18" s="936"/>
      <c r="BAD18" s="936"/>
      <c r="BAE18" s="936"/>
      <c r="BAF18" s="936"/>
      <c r="BAG18" s="936"/>
      <c r="BAH18" s="936"/>
      <c r="BAI18" s="936"/>
      <c r="BAJ18" s="936"/>
      <c r="BAK18" s="936"/>
      <c r="BAL18" s="936"/>
      <c r="BAM18" s="936"/>
      <c r="BAN18" s="936"/>
      <c r="BAO18" s="936"/>
      <c r="BAP18" s="936"/>
      <c r="BAQ18" s="936"/>
      <c r="BAR18" s="936"/>
      <c r="BAS18" s="936"/>
      <c r="BAT18" s="936"/>
      <c r="BAU18" s="936"/>
      <c r="BAV18" s="936"/>
      <c r="BAW18" s="936"/>
      <c r="BAX18" s="936"/>
      <c r="BAY18" s="936"/>
      <c r="BAZ18" s="936"/>
      <c r="BBA18" s="936"/>
      <c r="BBB18" s="936"/>
      <c r="BBC18" s="936"/>
      <c r="BBD18" s="936"/>
      <c r="BBE18" s="936"/>
      <c r="BBF18" s="936"/>
      <c r="BBG18" s="936"/>
      <c r="BBH18" s="936"/>
      <c r="BBI18" s="936"/>
      <c r="BBJ18" s="936"/>
      <c r="BBK18" s="936"/>
      <c r="BBL18" s="936"/>
      <c r="BBM18" s="936"/>
      <c r="BBN18" s="936"/>
      <c r="BBO18" s="936"/>
      <c r="BBP18" s="936"/>
      <c r="BBQ18" s="936"/>
      <c r="BBR18" s="936"/>
      <c r="BBS18" s="936"/>
      <c r="BBT18" s="936"/>
      <c r="BBU18" s="936"/>
      <c r="BBV18" s="936"/>
      <c r="BBW18" s="936"/>
      <c r="BBX18" s="936"/>
      <c r="BBY18" s="936"/>
      <c r="BBZ18" s="936"/>
      <c r="BCA18" s="936"/>
      <c r="BCB18" s="936"/>
      <c r="BCC18" s="936"/>
      <c r="BCD18" s="936"/>
      <c r="BCE18" s="936"/>
      <c r="BCF18" s="936"/>
      <c r="BCG18" s="936"/>
      <c r="BCH18" s="936"/>
      <c r="BCI18" s="936"/>
      <c r="BCJ18" s="936"/>
      <c r="BCK18" s="936"/>
      <c r="BCL18" s="936"/>
      <c r="BCM18" s="936"/>
      <c r="BCN18" s="936"/>
      <c r="BCO18" s="936"/>
      <c r="BCP18" s="936"/>
      <c r="BCQ18" s="936"/>
      <c r="BCR18" s="936"/>
      <c r="BCS18" s="936"/>
      <c r="BCT18" s="936"/>
      <c r="BCU18" s="936"/>
      <c r="BCV18" s="936"/>
      <c r="BCW18" s="936"/>
      <c r="BCX18" s="936"/>
      <c r="BCY18" s="936"/>
      <c r="BCZ18" s="936"/>
      <c r="BDA18" s="936"/>
      <c r="BDB18" s="936"/>
      <c r="BDC18" s="936"/>
      <c r="BDD18" s="936"/>
      <c r="BDE18" s="936"/>
      <c r="BDF18" s="936"/>
      <c r="BDG18" s="936"/>
      <c r="BDH18" s="936"/>
      <c r="BDI18" s="936"/>
      <c r="BDJ18" s="936"/>
      <c r="BDK18" s="936"/>
      <c r="BDL18" s="936"/>
      <c r="BDM18" s="936"/>
      <c r="BDN18" s="936"/>
      <c r="BDO18" s="936"/>
      <c r="BDP18" s="936"/>
      <c r="BDQ18" s="936"/>
      <c r="BDR18" s="936"/>
      <c r="BDS18" s="936"/>
      <c r="BDT18" s="936"/>
      <c r="BDU18" s="936"/>
      <c r="BDV18" s="936"/>
      <c r="BDW18" s="936"/>
      <c r="BDX18" s="936"/>
      <c r="BDY18" s="936"/>
      <c r="BDZ18" s="936"/>
      <c r="BEA18" s="936"/>
      <c r="BEB18" s="936"/>
      <c r="BEC18" s="936"/>
      <c r="BED18" s="936"/>
      <c r="BEE18" s="936"/>
      <c r="BEF18" s="936"/>
      <c r="BEG18" s="936"/>
      <c r="BEH18" s="936"/>
      <c r="BEI18" s="936"/>
      <c r="BEJ18" s="936"/>
      <c r="BEK18" s="936"/>
      <c r="BEL18" s="936"/>
      <c r="BEM18" s="936"/>
      <c r="BEN18" s="936"/>
      <c r="BEO18" s="936"/>
      <c r="BEP18" s="936"/>
      <c r="BEQ18" s="936"/>
      <c r="BER18" s="936"/>
      <c r="BES18" s="936"/>
      <c r="BET18" s="936"/>
      <c r="BEU18" s="936"/>
      <c r="BEV18" s="936"/>
      <c r="BEW18" s="936"/>
      <c r="BEX18" s="936"/>
      <c r="BEY18" s="936"/>
      <c r="BEZ18" s="936"/>
      <c r="BFA18" s="936"/>
      <c r="BFB18" s="936"/>
      <c r="BFC18" s="936"/>
      <c r="BFD18" s="936"/>
      <c r="BFE18" s="936"/>
      <c r="BFF18" s="936"/>
      <c r="BFG18" s="936"/>
      <c r="BFH18" s="936"/>
      <c r="BFI18" s="936"/>
      <c r="BFJ18" s="936"/>
      <c r="BFK18" s="936"/>
      <c r="BFL18" s="936"/>
      <c r="BFM18" s="936"/>
      <c r="BFN18" s="936"/>
      <c r="BFO18" s="936"/>
      <c r="BFP18" s="936"/>
      <c r="BFQ18" s="936"/>
      <c r="BFR18" s="936"/>
      <c r="BFS18" s="936"/>
      <c r="BFT18" s="936"/>
      <c r="BFU18" s="936"/>
      <c r="BFV18" s="936"/>
      <c r="BFW18" s="936"/>
      <c r="BFX18" s="936"/>
      <c r="BFY18" s="936"/>
      <c r="BFZ18" s="936"/>
      <c r="BGA18" s="936"/>
      <c r="BGB18" s="936"/>
      <c r="BGC18" s="936"/>
      <c r="BGD18" s="936"/>
      <c r="BGE18" s="936"/>
      <c r="BGF18" s="936"/>
      <c r="BGG18" s="936"/>
      <c r="BGH18" s="936"/>
      <c r="BGI18" s="936"/>
      <c r="BGJ18" s="936"/>
      <c r="BGK18" s="936"/>
      <c r="BGL18" s="936"/>
      <c r="BGM18" s="936"/>
      <c r="BGN18" s="936"/>
      <c r="BGO18" s="936"/>
      <c r="BGP18" s="936"/>
      <c r="BGQ18" s="936"/>
      <c r="BGR18" s="936"/>
      <c r="BGS18" s="936"/>
      <c r="BGT18" s="936"/>
      <c r="BGU18" s="936"/>
      <c r="BGV18" s="936"/>
      <c r="BGW18" s="936"/>
      <c r="BGX18" s="936"/>
      <c r="BGY18" s="936"/>
      <c r="BGZ18" s="936"/>
      <c r="BHA18" s="936"/>
      <c r="BHB18" s="936"/>
      <c r="BHC18" s="936"/>
      <c r="BHD18" s="936"/>
      <c r="BHE18" s="936"/>
      <c r="BHF18" s="936"/>
      <c r="BHG18" s="936"/>
      <c r="BHH18" s="936"/>
      <c r="BHI18" s="936"/>
      <c r="BHJ18" s="936"/>
      <c r="BHK18" s="936"/>
      <c r="BHL18" s="936"/>
      <c r="BHM18" s="936"/>
      <c r="BHN18" s="936"/>
      <c r="BHO18" s="936"/>
      <c r="BHP18" s="936"/>
      <c r="BHQ18" s="936"/>
      <c r="BHR18" s="936"/>
      <c r="BHS18" s="936"/>
      <c r="BHT18" s="936"/>
      <c r="BHU18" s="936"/>
      <c r="BHV18" s="936"/>
      <c r="BHW18" s="936"/>
      <c r="BHX18" s="936"/>
      <c r="BHY18" s="936"/>
      <c r="BHZ18" s="936"/>
      <c r="BIA18" s="936"/>
      <c r="BIB18" s="936"/>
      <c r="BIC18" s="936"/>
      <c r="BID18" s="936"/>
      <c r="BIE18" s="936"/>
      <c r="BIF18" s="936"/>
      <c r="BIG18" s="936"/>
      <c r="BIH18" s="936"/>
      <c r="BII18" s="936"/>
      <c r="BIJ18" s="936"/>
      <c r="BIK18" s="936"/>
      <c r="BIL18" s="936"/>
      <c r="BIM18" s="936"/>
      <c r="BIN18" s="936"/>
      <c r="BIO18" s="936"/>
      <c r="BIP18" s="936"/>
      <c r="BIQ18" s="936"/>
      <c r="BIR18" s="936"/>
      <c r="BIS18" s="936"/>
      <c r="BIT18" s="936"/>
      <c r="BIU18" s="936"/>
      <c r="BIV18" s="936"/>
      <c r="BIW18" s="936"/>
      <c r="BIX18" s="936"/>
      <c r="BIY18" s="936"/>
      <c r="BIZ18" s="936"/>
      <c r="BJA18" s="936"/>
      <c r="BJB18" s="936"/>
      <c r="BJC18" s="936"/>
      <c r="BJD18" s="936"/>
      <c r="BJE18" s="936"/>
      <c r="BJF18" s="936"/>
      <c r="BJG18" s="936"/>
      <c r="BJH18" s="936"/>
      <c r="BJI18" s="936"/>
      <c r="BJJ18" s="936"/>
      <c r="BJK18" s="936"/>
      <c r="BJL18" s="936"/>
      <c r="BJM18" s="936"/>
      <c r="BJN18" s="936"/>
      <c r="BJO18" s="936"/>
      <c r="BJP18" s="936"/>
      <c r="BJQ18" s="936"/>
      <c r="BJR18" s="936"/>
      <c r="BJS18" s="936"/>
      <c r="BJT18" s="936"/>
      <c r="BJU18" s="936"/>
      <c r="BJV18" s="936"/>
      <c r="BJW18" s="936"/>
      <c r="BJX18" s="936"/>
      <c r="BJY18" s="936"/>
      <c r="BJZ18" s="936"/>
      <c r="BKA18" s="936"/>
      <c r="BKB18" s="936"/>
      <c r="BKC18" s="936"/>
      <c r="BKD18" s="936"/>
      <c r="BKE18" s="936"/>
      <c r="BKF18" s="936"/>
      <c r="BKG18" s="936"/>
      <c r="BKH18" s="936"/>
      <c r="BKI18" s="936"/>
      <c r="BKJ18" s="936"/>
      <c r="BKK18" s="936"/>
      <c r="BKL18" s="936"/>
      <c r="BKM18" s="936"/>
      <c r="BKN18" s="936"/>
      <c r="BKO18" s="936"/>
      <c r="BKP18" s="936"/>
      <c r="BKQ18" s="936"/>
      <c r="BKR18" s="936"/>
      <c r="BKS18" s="936"/>
      <c r="BKT18" s="936"/>
      <c r="BKU18" s="936"/>
      <c r="BKV18" s="936"/>
      <c r="BKW18" s="936"/>
      <c r="BKX18" s="936"/>
      <c r="BKY18" s="936"/>
      <c r="BKZ18" s="936"/>
      <c r="BLA18" s="936"/>
      <c r="BLB18" s="936"/>
      <c r="BLC18" s="936"/>
      <c r="BLD18" s="936"/>
      <c r="BLE18" s="936"/>
      <c r="BLF18" s="936"/>
      <c r="BLG18" s="936"/>
      <c r="BLH18" s="936"/>
      <c r="BLI18" s="936"/>
      <c r="BLJ18" s="936"/>
      <c r="BLK18" s="936"/>
      <c r="BLL18" s="936"/>
      <c r="BLM18" s="936"/>
      <c r="BLN18" s="936"/>
      <c r="BLO18" s="936"/>
      <c r="BLP18" s="936"/>
      <c r="BLQ18" s="936"/>
      <c r="BLR18" s="936"/>
      <c r="BLS18" s="936"/>
      <c r="BLT18" s="936"/>
      <c r="BLU18" s="936"/>
      <c r="BLV18" s="936"/>
      <c r="BLW18" s="936"/>
      <c r="BLX18" s="936"/>
      <c r="BLY18" s="936"/>
      <c r="BLZ18" s="936"/>
      <c r="BMA18" s="936"/>
      <c r="BMB18" s="936"/>
      <c r="BMC18" s="936"/>
      <c r="BMD18" s="936"/>
      <c r="BME18" s="936"/>
      <c r="BMF18" s="936"/>
      <c r="BMG18" s="936"/>
      <c r="BMH18" s="936"/>
      <c r="BMI18" s="936"/>
      <c r="BMJ18" s="936"/>
      <c r="BMK18" s="936"/>
      <c r="BML18" s="936"/>
      <c r="BMM18" s="936"/>
      <c r="BMN18" s="936"/>
      <c r="BMO18" s="936"/>
      <c r="BMP18" s="936"/>
      <c r="BMQ18" s="936"/>
      <c r="BMR18" s="936"/>
      <c r="BMS18" s="936"/>
      <c r="BMT18" s="936"/>
      <c r="BMU18" s="936"/>
      <c r="BMV18" s="936"/>
      <c r="BMW18" s="936"/>
      <c r="BMX18" s="936"/>
      <c r="BMY18" s="936"/>
      <c r="BMZ18" s="936"/>
      <c r="BNA18" s="936"/>
      <c r="BNB18" s="936"/>
      <c r="BNC18" s="936"/>
      <c r="BND18" s="936"/>
      <c r="BNE18" s="936"/>
      <c r="BNF18" s="936"/>
      <c r="BNG18" s="936"/>
      <c r="BNH18" s="936"/>
      <c r="BNI18" s="936"/>
      <c r="BNJ18" s="936"/>
      <c r="BNK18" s="936"/>
      <c r="BNL18" s="936"/>
      <c r="BNM18" s="936"/>
      <c r="BNN18" s="936"/>
      <c r="BNO18" s="936"/>
      <c r="BNP18" s="936"/>
      <c r="BNQ18" s="936"/>
      <c r="BNR18" s="936"/>
      <c r="BNS18" s="936"/>
      <c r="BNT18" s="936"/>
      <c r="BNU18" s="936"/>
      <c r="BNV18" s="936"/>
      <c r="BNW18" s="936"/>
      <c r="BNX18" s="936"/>
      <c r="BNY18" s="936"/>
      <c r="BNZ18" s="936"/>
      <c r="BOA18" s="936"/>
      <c r="BOB18" s="936"/>
      <c r="BOC18" s="936"/>
      <c r="BOD18" s="936"/>
      <c r="BOE18" s="936"/>
      <c r="BOF18" s="936"/>
      <c r="BOG18" s="936"/>
      <c r="BOH18" s="936"/>
      <c r="BOI18" s="936"/>
      <c r="BOJ18" s="936"/>
      <c r="BOK18" s="936"/>
      <c r="BOL18" s="936"/>
      <c r="BOM18" s="936"/>
      <c r="BON18" s="936"/>
      <c r="BOO18" s="936"/>
      <c r="BOP18" s="936"/>
      <c r="BOQ18" s="936"/>
      <c r="BOR18" s="936"/>
      <c r="BOS18" s="936"/>
      <c r="BOT18" s="936"/>
      <c r="BOU18" s="936"/>
      <c r="BOV18" s="936"/>
      <c r="BOW18" s="936"/>
      <c r="BOX18" s="936"/>
      <c r="BOY18" s="936"/>
      <c r="BOZ18" s="936"/>
      <c r="BPA18" s="936"/>
      <c r="BPB18" s="936"/>
      <c r="BPC18" s="936"/>
      <c r="BPD18" s="936"/>
      <c r="BPE18" s="936"/>
      <c r="BPF18" s="936"/>
      <c r="BPG18" s="936"/>
      <c r="BPH18" s="936"/>
      <c r="BPI18" s="936"/>
      <c r="BPJ18" s="936"/>
      <c r="BPK18" s="936"/>
      <c r="BPL18" s="936"/>
      <c r="BPM18" s="936"/>
      <c r="BPN18" s="936"/>
      <c r="BPO18" s="936"/>
      <c r="BPP18" s="936"/>
      <c r="BPQ18" s="936"/>
      <c r="BPR18" s="936"/>
      <c r="BPS18" s="936"/>
      <c r="BPT18" s="936"/>
      <c r="BPU18" s="936"/>
      <c r="BPV18" s="936"/>
      <c r="BPW18" s="936"/>
      <c r="BPX18" s="936"/>
      <c r="BPY18" s="936"/>
      <c r="BPZ18" s="936"/>
      <c r="BQA18" s="936"/>
      <c r="BQB18" s="936"/>
      <c r="BQC18" s="936"/>
      <c r="BQD18" s="936"/>
      <c r="BQE18" s="936"/>
      <c r="BQF18" s="936"/>
      <c r="BQG18" s="936"/>
      <c r="BQH18" s="936"/>
      <c r="BQI18" s="936"/>
      <c r="BQJ18" s="936"/>
      <c r="BQK18" s="936"/>
      <c r="BQL18" s="936"/>
      <c r="BQM18" s="936"/>
      <c r="BQN18" s="936"/>
      <c r="BQO18" s="936"/>
      <c r="BQP18" s="936"/>
      <c r="BQQ18" s="936"/>
      <c r="BQR18" s="936"/>
      <c r="BQS18" s="936"/>
      <c r="BQT18" s="936"/>
      <c r="BQU18" s="936"/>
      <c r="BQV18" s="936"/>
      <c r="BQW18" s="936"/>
      <c r="BQX18" s="936"/>
      <c r="BQY18" s="936"/>
      <c r="BQZ18" s="936"/>
      <c r="BRA18" s="936"/>
      <c r="BRB18" s="936"/>
      <c r="BRC18" s="936"/>
      <c r="BRD18" s="936"/>
      <c r="BRE18" s="936"/>
      <c r="BRF18" s="936"/>
      <c r="BRG18" s="936"/>
      <c r="BRH18" s="936"/>
      <c r="BRI18" s="936"/>
      <c r="BRJ18" s="936"/>
      <c r="BRK18" s="936"/>
      <c r="BRL18" s="936"/>
      <c r="BRM18" s="936"/>
      <c r="BRN18" s="936"/>
      <c r="BRO18" s="936"/>
      <c r="BRP18" s="936"/>
      <c r="BRQ18" s="936"/>
      <c r="BRR18" s="936"/>
      <c r="BRS18" s="936"/>
      <c r="BRT18" s="936"/>
      <c r="BRU18" s="936"/>
      <c r="BRV18" s="936"/>
      <c r="BRW18" s="936"/>
      <c r="BRX18" s="936"/>
      <c r="BRY18" s="936"/>
      <c r="BRZ18" s="936"/>
      <c r="BSA18" s="936"/>
      <c r="BSB18" s="936"/>
      <c r="BSC18" s="936"/>
      <c r="BSD18" s="936"/>
      <c r="BSE18" s="936"/>
      <c r="BSF18" s="936"/>
      <c r="BSG18" s="936"/>
      <c r="BSH18" s="936"/>
      <c r="BSI18" s="936"/>
      <c r="BSJ18" s="936"/>
      <c r="BSK18" s="936"/>
      <c r="BSL18" s="936"/>
      <c r="BSM18" s="936"/>
      <c r="BSN18" s="936"/>
      <c r="BSO18" s="936"/>
      <c r="BSP18" s="936"/>
      <c r="BSQ18" s="936"/>
      <c r="BSR18" s="936"/>
      <c r="BSS18" s="936"/>
      <c r="BST18" s="936"/>
      <c r="BSU18" s="936"/>
      <c r="BSV18" s="936"/>
      <c r="BSW18" s="936"/>
      <c r="BSX18" s="936"/>
      <c r="BSY18" s="936"/>
      <c r="BSZ18" s="936"/>
      <c r="BTA18" s="936"/>
      <c r="BTB18" s="936"/>
      <c r="BTC18" s="936"/>
      <c r="BTD18" s="936"/>
      <c r="BTE18" s="936"/>
      <c r="BTF18" s="936"/>
      <c r="BTG18" s="936"/>
      <c r="BTH18" s="936"/>
      <c r="BTI18" s="936"/>
    </row>
    <row r="19" spans="1:1881" s="939" customFormat="1" ht="55.5" customHeight="1" thickBot="1" x14ac:dyDescent="0.35">
      <c r="A19" s="940">
        <v>338</v>
      </c>
      <c r="B19" s="455" t="s">
        <v>56</v>
      </c>
      <c r="C19" s="497" t="s">
        <v>129</v>
      </c>
      <c r="D19" s="29" t="s">
        <v>131</v>
      </c>
      <c r="E19" s="933" t="e">
        <f>HLOOKUP($D$2,'2020 Data(H)'!$C$1:$CZ$426,104,FALSE)</f>
        <v>#N/A</v>
      </c>
      <c r="F19" s="934">
        <v>0</v>
      </c>
      <c r="G19" s="571" t="str">
        <f>IF(F12&gt;F19,"Error: Please review accts 626 &gt; 338","")</f>
        <v/>
      </c>
      <c r="H19" s="17"/>
      <c r="I19" s="572"/>
      <c r="J19" s="935"/>
      <c r="K19" s="936"/>
      <c r="L19" s="545"/>
      <c r="M19" s="936"/>
      <c r="N19" s="937"/>
      <c r="O19" s="936"/>
      <c r="P19" s="936"/>
      <c r="Q19" s="934">
        <v>1131889</v>
      </c>
      <c r="R19" s="936"/>
      <c r="S19" s="936"/>
      <c r="T19" s="936"/>
      <c r="U19" s="936"/>
      <c r="V19" s="936"/>
      <c r="W19" s="936"/>
      <c r="X19" s="936"/>
      <c r="Y19" s="936"/>
      <c r="Z19" s="940"/>
      <c r="AA19" s="940"/>
      <c r="AB19" s="940"/>
      <c r="AC19" s="940"/>
      <c r="AD19" s="940"/>
      <c r="AE19" s="940"/>
      <c r="AF19" s="940"/>
      <c r="AG19" s="940"/>
      <c r="AH19" s="940"/>
      <c r="AI19" s="940"/>
      <c r="AJ19" s="940"/>
      <c r="AK19" s="940"/>
      <c r="AL19" s="940"/>
      <c r="AM19" s="940"/>
      <c r="AN19" s="940"/>
      <c r="AO19" s="940"/>
      <c r="AP19" s="940"/>
      <c r="AQ19" s="940"/>
      <c r="AR19" s="940"/>
      <c r="AS19" s="936"/>
      <c r="AT19" s="936"/>
      <c r="AU19" s="936"/>
      <c r="AV19" s="936"/>
      <c r="AW19" s="936"/>
      <c r="AX19" s="936"/>
      <c r="AY19" s="936"/>
      <c r="AZ19" s="936"/>
      <c r="BA19" s="936"/>
      <c r="BB19" s="936"/>
      <c r="BC19" s="936"/>
      <c r="BD19" s="936"/>
      <c r="BE19" s="936"/>
      <c r="BF19" s="936"/>
      <c r="BG19" s="936"/>
      <c r="BH19" s="936"/>
      <c r="BI19" s="936"/>
      <c r="BJ19" s="936"/>
      <c r="BK19" s="936"/>
      <c r="BL19" s="936"/>
      <c r="BM19" s="936"/>
      <c r="BN19" s="936"/>
      <c r="BO19" s="936"/>
      <c r="BP19" s="936"/>
      <c r="BQ19" s="936"/>
      <c r="BR19" s="936"/>
      <c r="BS19" s="936"/>
      <c r="BT19" s="936"/>
      <c r="BU19" s="936"/>
      <c r="BV19" s="936"/>
      <c r="BW19" s="936"/>
      <c r="BX19" s="936"/>
      <c r="BY19" s="936"/>
      <c r="BZ19" s="936"/>
      <c r="CA19" s="936"/>
      <c r="CB19" s="936"/>
      <c r="CC19" s="936"/>
      <c r="CD19" s="936"/>
      <c r="CE19" s="936"/>
      <c r="CF19" s="936"/>
      <c r="CG19" s="936"/>
      <c r="CH19" s="936"/>
      <c r="CI19" s="936"/>
      <c r="CJ19" s="936"/>
      <c r="CK19" s="936"/>
      <c r="CL19" s="936"/>
      <c r="CM19" s="936"/>
      <c r="CN19" s="936"/>
      <c r="CO19" s="936"/>
      <c r="CP19" s="936"/>
      <c r="CQ19" s="936"/>
      <c r="CR19" s="936"/>
      <c r="CS19" s="936"/>
      <c r="CT19" s="936"/>
      <c r="CU19" s="936"/>
      <c r="CV19" s="936"/>
      <c r="CW19" s="936"/>
      <c r="CX19" s="936"/>
      <c r="CY19" s="936"/>
      <c r="CZ19" s="936"/>
      <c r="DA19" s="936"/>
      <c r="DB19" s="936"/>
      <c r="DC19" s="936"/>
      <c r="DD19" s="936"/>
      <c r="DE19" s="936"/>
      <c r="DF19" s="936"/>
      <c r="DG19" s="936"/>
      <c r="DH19" s="936"/>
      <c r="DI19" s="936"/>
      <c r="DJ19" s="936"/>
      <c r="DK19" s="936"/>
      <c r="DL19" s="936"/>
      <c r="DM19" s="936"/>
      <c r="DN19" s="936"/>
      <c r="DO19" s="936"/>
      <c r="DP19" s="936"/>
      <c r="DQ19" s="936"/>
      <c r="DR19" s="936"/>
      <c r="DS19" s="936"/>
      <c r="DT19" s="936"/>
      <c r="DU19" s="936"/>
      <c r="DV19" s="936"/>
      <c r="DW19" s="936"/>
      <c r="DX19" s="936"/>
      <c r="DY19" s="936"/>
      <c r="DZ19" s="936"/>
      <c r="EA19" s="936"/>
      <c r="EB19" s="936"/>
      <c r="EC19" s="936"/>
      <c r="ED19" s="936"/>
      <c r="EE19" s="936"/>
      <c r="EF19" s="936"/>
      <c r="EG19" s="936"/>
      <c r="EH19" s="936"/>
      <c r="EI19" s="936"/>
      <c r="EJ19" s="936"/>
      <c r="EK19" s="936"/>
      <c r="EL19" s="936"/>
      <c r="EM19" s="936"/>
      <c r="EN19" s="936"/>
      <c r="EO19" s="936"/>
      <c r="EP19" s="936"/>
      <c r="EQ19" s="936"/>
      <c r="ER19" s="936"/>
      <c r="ES19" s="936"/>
      <c r="ET19" s="936"/>
      <c r="EU19" s="936"/>
      <c r="EV19" s="936"/>
      <c r="EW19" s="936"/>
      <c r="EX19" s="936"/>
      <c r="EY19" s="936"/>
      <c r="EZ19" s="936"/>
      <c r="FA19" s="936"/>
      <c r="FB19" s="936"/>
      <c r="FC19" s="936"/>
      <c r="FD19" s="936"/>
      <c r="FE19" s="936"/>
      <c r="FF19" s="936"/>
      <c r="FG19" s="936"/>
      <c r="FH19" s="936"/>
      <c r="FI19" s="936"/>
      <c r="FJ19" s="936"/>
      <c r="FK19" s="936"/>
      <c r="FL19" s="936"/>
      <c r="FM19" s="936"/>
      <c r="FN19" s="936"/>
      <c r="FO19" s="936"/>
      <c r="FP19" s="936"/>
      <c r="FQ19" s="936"/>
      <c r="FR19" s="936"/>
      <c r="FS19" s="936"/>
      <c r="FT19" s="936"/>
      <c r="FU19" s="936"/>
      <c r="FV19" s="936"/>
      <c r="FW19" s="936"/>
      <c r="FX19" s="936"/>
      <c r="FY19" s="936"/>
      <c r="FZ19" s="936"/>
      <c r="GA19" s="936"/>
      <c r="GB19" s="936"/>
      <c r="GC19" s="936"/>
      <c r="GD19" s="936"/>
      <c r="GE19" s="936"/>
      <c r="GF19" s="936"/>
      <c r="GG19" s="936"/>
      <c r="GH19" s="936"/>
      <c r="GI19" s="936"/>
      <c r="GJ19" s="936"/>
      <c r="GK19" s="936"/>
      <c r="GL19" s="936"/>
      <c r="GM19" s="936"/>
      <c r="GN19" s="936"/>
      <c r="GO19" s="936"/>
      <c r="GP19" s="936"/>
      <c r="GQ19" s="936"/>
      <c r="GR19" s="936"/>
      <c r="GS19" s="936"/>
      <c r="GT19" s="936"/>
      <c r="GU19" s="936"/>
      <c r="GV19" s="936"/>
      <c r="GW19" s="936"/>
      <c r="GX19" s="936"/>
      <c r="GY19" s="936"/>
      <c r="GZ19" s="936"/>
      <c r="HA19" s="936"/>
      <c r="HB19" s="936"/>
      <c r="HC19" s="936"/>
      <c r="HD19" s="936"/>
      <c r="HE19" s="936"/>
      <c r="HF19" s="936"/>
      <c r="HG19" s="936"/>
      <c r="HH19" s="936"/>
      <c r="HI19" s="936"/>
      <c r="HJ19" s="936"/>
      <c r="HK19" s="936"/>
      <c r="HL19" s="936"/>
      <c r="HM19" s="936"/>
      <c r="HN19" s="936"/>
      <c r="HO19" s="936"/>
      <c r="HP19" s="936"/>
      <c r="HQ19" s="936"/>
      <c r="HR19" s="936"/>
      <c r="HS19" s="936"/>
      <c r="HT19" s="936"/>
      <c r="HU19" s="936"/>
      <c r="HV19" s="936"/>
      <c r="HW19" s="936"/>
      <c r="HX19" s="936"/>
      <c r="HY19" s="936"/>
      <c r="HZ19" s="936"/>
      <c r="IA19" s="936"/>
      <c r="IB19" s="936"/>
      <c r="IC19" s="936"/>
      <c r="ID19" s="936"/>
      <c r="IE19" s="936"/>
      <c r="IF19" s="936"/>
      <c r="IG19" s="936"/>
      <c r="IH19" s="936"/>
      <c r="II19" s="936"/>
      <c r="IJ19" s="936"/>
      <c r="IK19" s="936"/>
      <c r="IL19" s="936"/>
      <c r="IM19" s="936"/>
      <c r="IN19" s="936"/>
      <c r="IO19" s="936"/>
      <c r="IP19" s="936"/>
      <c r="IQ19" s="936"/>
      <c r="IR19" s="936"/>
      <c r="IS19" s="936"/>
      <c r="IT19" s="936"/>
      <c r="IU19" s="936"/>
      <c r="IV19" s="936"/>
      <c r="IW19" s="936"/>
      <c r="IX19" s="936"/>
      <c r="IY19" s="936"/>
      <c r="IZ19" s="936"/>
      <c r="JA19" s="936"/>
      <c r="JB19" s="936"/>
      <c r="JC19" s="936"/>
      <c r="JD19" s="936"/>
      <c r="JE19" s="936"/>
      <c r="JF19" s="936"/>
      <c r="JG19" s="936"/>
      <c r="JH19" s="936"/>
      <c r="JI19" s="936"/>
      <c r="JJ19" s="936"/>
      <c r="JK19" s="936"/>
      <c r="JL19" s="936"/>
      <c r="JM19" s="936"/>
      <c r="JN19" s="936"/>
      <c r="JO19" s="936"/>
      <c r="JP19" s="936"/>
      <c r="JQ19" s="936"/>
      <c r="JR19" s="936"/>
      <c r="JS19" s="936"/>
      <c r="JT19" s="936"/>
      <c r="JU19" s="936"/>
      <c r="JV19" s="936"/>
      <c r="JW19" s="936"/>
      <c r="JX19" s="936"/>
      <c r="JY19" s="936"/>
      <c r="JZ19" s="936"/>
      <c r="KA19" s="936"/>
      <c r="KB19" s="936"/>
      <c r="KC19" s="936"/>
      <c r="KD19" s="936"/>
      <c r="KE19" s="936"/>
      <c r="KF19" s="936"/>
      <c r="KG19" s="936"/>
      <c r="KH19" s="936"/>
      <c r="KI19" s="936"/>
      <c r="KJ19" s="936"/>
      <c r="KK19" s="936"/>
      <c r="KL19" s="936"/>
      <c r="KM19" s="936"/>
      <c r="KN19" s="936"/>
      <c r="KO19" s="936"/>
      <c r="KP19" s="936"/>
      <c r="KQ19" s="936"/>
      <c r="KR19" s="936"/>
      <c r="KS19" s="936"/>
      <c r="KT19" s="936"/>
      <c r="KU19" s="936"/>
      <c r="KV19" s="936"/>
      <c r="KW19" s="936"/>
      <c r="KX19" s="936"/>
      <c r="KY19" s="936"/>
      <c r="KZ19" s="936"/>
      <c r="LA19" s="936"/>
      <c r="LB19" s="936"/>
      <c r="LC19" s="936"/>
      <c r="LD19" s="936"/>
      <c r="LE19" s="936"/>
      <c r="LF19" s="936"/>
      <c r="LG19" s="936"/>
      <c r="LH19" s="936"/>
      <c r="LI19" s="936"/>
      <c r="LJ19" s="936"/>
      <c r="LK19" s="936"/>
      <c r="LL19" s="936"/>
      <c r="LM19" s="936"/>
      <c r="LN19" s="936"/>
      <c r="LO19" s="936"/>
      <c r="LP19" s="936"/>
      <c r="LQ19" s="936"/>
      <c r="LR19" s="936"/>
      <c r="LS19" s="936"/>
      <c r="LT19" s="936"/>
      <c r="LU19" s="936"/>
      <c r="LV19" s="936"/>
      <c r="LW19" s="936"/>
      <c r="LX19" s="936"/>
      <c r="LY19" s="936"/>
      <c r="LZ19" s="936"/>
      <c r="MA19" s="936"/>
      <c r="MB19" s="936"/>
      <c r="MC19" s="936"/>
      <c r="MD19" s="936"/>
      <c r="ME19" s="936"/>
      <c r="MF19" s="936"/>
      <c r="MG19" s="936"/>
      <c r="MH19" s="936"/>
      <c r="MI19" s="936"/>
      <c r="MJ19" s="936"/>
      <c r="MK19" s="936"/>
      <c r="ML19" s="936"/>
      <c r="MM19" s="936"/>
      <c r="MN19" s="936"/>
      <c r="MO19" s="936"/>
      <c r="MP19" s="936"/>
      <c r="MQ19" s="936"/>
      <c r="MR19" s="936"/>
      <c r="MS19" s="936"/>
      <c r="MT19" s="936"/>
      <c r="MU19" s="936"/>
      <c r="MV19" s="936"/>
      <c r="MW19" s="936"/>
      <c r="MX19" s="936"/>
      <c r="MY19" s="936"/>
      <c r="MZ19" s="936"/>
      <c r="NA19" s="936"/>
      <c r="NB19" s="936"/>
      <c r="NC19" s="936"/>
      <c r="ND19" s="936"/>
      <c r="NE19" s="936"/>
      <c r="NF19" s="936"/>
      <c r="NG19" s="936"/>
      <c r="NH19" s="936"/>
      <c r="NI19" s="936"/>
      <c r="NJ19" s="936"/>
      <c r="NK19" s="936"/>
      <c r="NL19" s="936"/>
      <c r="NM19" s="936"/>
      <c r="NN19" s="936"/>
      <c r="NO19" s="936"/>
      <c r="NP19" s="936"/>
      <c r="NQ19" s="936"/>
      <c r="NR19" s="936"/>
      <c r="NS19" s="936"/>
      <c r="NT19" s="936"/>
      <c r="NU19" s="936"/>
      <c r="NV19" s="936"/>
      <c r="NW19" s="936"/>
      <c r="NX19" s="936"/>
      <c r="NY19" s="936"/>
      <c r="NZ19" s="936"/>
      <c r="OA19" s="936"/>
      <c r="OB19" s="936"/>
      <c r="OC19" s="936"/>
      <c r="OD19" s="936"/>
      <c r="OE19" s="936"/>
      <c r="OF19" s="936"/>
      <c r="OG19" s="936"/>
      <c r="OH19" s="936"/>
      <c r="OI19" s="936"/>
      <c r="OJ19" s="936"/>
      <c r="OK19" s="936"/>
      <c r="OL19" s="936"/>
      <c r="OM19" s="936"/>
      <c r="ON19" s="936"/>
      <c r="OO19" s="936"/>
      <c r="OP19" s="936"/>
      <c r="OQ19" s="936"/>
      <c r="OR19" s="936"/>
      <c r="OS19" s="936"/>
      <c r="OT19" s="936"/>
      <c r="OU19" s="936"/>
      <c r="OV19" s="936"/>
      <c r="OW19" s="936"/>
      <c r="OX19" s="936"/>
      <c r="OY19" s="936"/>
      <c r="OZ19" s="936"/>
      <c r="PA19" s="936"/>
      <c r="PB19" s="936"/>
      <c r="PC19" s="936"/>
      <c r="PD19" s="936"/>
      <c r="PE19" s="936"/>
      <c r="PF19" s="936"/>
      <c r="PG19" s="936"/>
      <c r="PH19" s="936"/>
      <c r="PI19" s="936"/>
      <c r="PJ19" s="936"/>
      <c r="PK19" s="936"/>
      <c r="PL19" s="936"/>
      <c r="PM19" s="936"/>
      <c r="PN19" s="936"/>
      <c r="PO19" s="936"/>
      <c r="PP19" s="936"/>
      <c r="PQ19" s="936"/>
      <c r="PR19" s="936"/>
      <c r="PS19" s="936"/>
      <c r="PT19" s="936"/>
      <c r="PU19" s="936"/>
      <c r="PV19" s="936"/>
      <c r="PW19" s="936"/>
      <c r="PX19" s="936"/>
      <c r="PY19" s="936"/>
      <c r="PZ19" s="936"/>
      <c r="QA19" s="936"/>
      <c r="QB19" s="936"/>
      <c r="QC19" s="936"/>
      <c r="QD19" s="936"/>
      <c r="QE19" s="936"/>
      <c r="QF19" s="936"/>
      <c r="QG19" s="936"/>
      <c r="QH19" s="936"/>
      <c r="QI19" s="936"/>
      <c r="QJ19" s="936"/>
      <c r="QK19" s="936"/>
      <c r="QL19" s="936"/>
      <c r="QM19" s="936"/>
      <c r="QN19" s="936"/>
      <c r="QO19" s="936"/>
      <c r="QP19" s="936"/>
      <c r="QQ19" s="936"/>
      <c r="QR19" s="936"/>
      <c r="QS19" s="936"/>
      <c r="QT19" s="936"/>
      <c r="QU19" s="936"/>
      <c r="QV19" s="936"/>
      <c r="QW19" s="936"/>
      <c r="QX19" s="936"/>
      <c r="QY19" s="936"/>
      <c r="QZ19" s="936"/>
      <c r="RA19" s="936"/>
      <c r="RB19" s="936"/>
      <c r="RC19" s="936"/>
      <c r="RD19" s="936"/>
      <c r="RE19" s="936"/>
      <c r="RF19" s="936"/>
      <c r="RG19" s="936"/>
      <c r="RH19" s="936"/>
      <c r="RI19" s="936"/>
      <c r="RJ19" s="936"/>
      <c r="RK19" s="936"/>
      <c r="RL19" s="936"/>
      <c r="RM19" s="936"/>
      <c r="RN19" s="936"/>
      <c r="RO19" s="936"/>
      <c r="RP19" s="936"/>
      <c r="RQ19" s="936"/>
      <c r="RR19" s="936"/>
      <c r="RS19" s="936"/>
      <c r="RT19" s="936"/>
      <c r="RU19" s="936"/>
      <c r="RV19" s="936"/>
      <c r="RW19" s="936"/>
      <c r="RX19" s="936"/>
      <c r="RY19" s="936"/>
      <c r="RZ19" s="936"/>
      <c r="SA19" s="936"/>
      <c r="SB19" s="936"/>
      <c r="SC19" s="936"/>
      <c r="SD19" s="936"/>
      <c r="SE19" s="936"/>
      <c r="SF19" s="936"/>
      <c r="SG19" s="936"/>
      <c r="SH19" s="936"/>
      <c r="SI19" s="936"/>
      <c r="SJ19" s="936"/>
      <c r="SK19" s="936"/>
      <c r="SL19" s="936"/>
      <c r="SM19" s="936"/>
      <c r="SN19" s="936"/>
      <c r="SO19" s="936"/>
      <c r="SP19" s="936"/>
      <c r="SQ19" s="936"/>
      <c r="SR19" s="936"/>
      <c r="SS19" s="936"/>
      <c r="ST19" s="936"/>
      <c r="SU19" s="936"/>
      <c r="SV19" s="936"/>
      <c r="SW19" s="936"/>
      <c r="SX19" s="936"/>
      <c r="SY19" s="936"/>
      <c r="SZ19" s="936"/>
      <c r="TA19" s="936"/>
      <c r="TB19" s="936"/>
      <c r="TC19" s="936"/>
      <c r="TD19" s="936"/>
      <c r="TE19" s="936"/>
      <c r="TF19" s="936"/>
      <c r="TG19" s="936"/>
      <c r="TH19" s="936"/>
      <c r="TI19" s="936"/>
      <c r="TJ19" s="936"/>
      <c r="TK19" s="936"/>
      <c r="TL19" s="936"/>
      <c r="TM19" s="936"/>
      <c r="TN19" s="936"/>
      <c r="TO19" s="936"/>
      <c r="TP19" s="936"/>
      <c r="TQ19" s="936"/>
      <c r="TR19" s="936"/>
      <c r="TS19" s="936"/>
      <c r="TT19" s="936"/>
      <c r="TU19" s="936"/>
      <c r="TV19" s="936"/>
      <c r="TW19" s="936"/>
      <c r="TX19" s="936"/>
      <c r="TY19" s="936"/>
      <c r="TZ19" s="936"/>
      <c r="UA19" s="936"/>
      <c r="UB19" s="936"/>
      <c r="UC19" s="936"/>
      <c r="UD19" s="936"/>
      <c r="UE19" s="936"/>
      <c r="UF19" s="936"/>
      <c r="UG19" s="936"/>
      <c r="UH19" s="936"/>
      <c r="UI19" s="936"/>
      <c r="UJ19" s="936"/>
      <c r="UK19" s="936"/>
      <c r="UL19" s="936"/>
      <c r="UM19" s="936"/>
      <c r="UN19" s="936"/>
      <c r="UO19" s="936"/>
      <c r="UP19" s="936"/>
      <c r="UQ19" s="936"/>
      <c r="UR19" s="936"/>
      <c r="US19" s="936"/>
      <c r="UT19" s="936"/>
      <c r="UU19" s="936"/>
      <c r="UV19" s="936"/>
      <c r="UW19" s="936"/>
      <c r="UX19" s="936"/>
      <c r="UY19" s="936"/>
      <c r="UZ19" s="936"/>
      <c r="VA19" s="936"/>
      <c r="VB19" s="936"/>
      <c r="VC19" s="936"/>
      <c r="VD19" s="936"/>
      <c r="VE19" s="936"/>
      <c r="VF19" s="936"/>
      <c r="VG19" s="936"/>
      <c r="VH19" s="936"/>
      <c r="VI19" s="936"/>
      <c r="VJ19" s="936"/>
      <c r="VK19" s="936"/>
      <c r="VL19" s="936"/>
      <c r="VM19" s="936"/>
      <c r="VN19" s="936"/>
      <c r="VO19" s="936"/>
      <c r="VP19" s="936"/>
      <c r="VQ19" s="936"/>
      <c r="VR19" s="936"/>
      <c r="VS19" s="936"/>
      <c r="VT19" s="936"/>
      <c r="VU19" s="936"/>
      <c r="VV19" s="936"/>
      <c r="VW19" s="936"/>
      <c r="VX19" s="936"/>
      <c r="VY19" s="936"/>
      <c r="VZ19" s="936"/>
      <c r="WA19" s="936"/>
      <c r="WB19" s="936"/>
      <c r="WC19" s="936"/>
      <c r="WD19" s="936"/>
      <c r="WE19" s="936"/>
      <c r="WF19" s="936"/>
      <c r="WG19" s="936"/>
      <c r="WH19" s="936"/>
      <c r="WI19" s="936"/>
      <c r="WJ19" s="936"/>
      <c r="WK19" s="936"/>
      <c r="WL19" s="936"/>
      <c r="WM19" s="936"/>
      <c r="WN19" s="936"/>
      <c r="WO19" s="936"/>
      <c r="WP19" s="936"/>
      <c r="WQ19" s="936"/>
      <c r="WR19" s="936"/>
      <c r="WS19" s="936"/>
      <c r="WT19" s="936"/>
      <c r="WU19" s="936"/>
      <c r="WV19" s="936"/>
      <c r="WW19" s="936"/>
      <c r="WX19" s="936"/>
      <c r="WY19" s="936"/>
      <c r="WZ19" s="936"/>
      <c r="XA19" s="936"/>
      <c r="XB19" s="936"/>
      <c r="XC19" s="936"/>
      <c r="XD19" s="936"/>
      <c r="XE19" s="936"/>
      <c r="XF19" s="936"/>
      <c r="XG19" s="936"/>
      <c r="XH19" s="936"/>
      <c r="XI19" s="936"/>
      <c r="XJ19" s="936"/>
      <c r="XK19" s="936"/>
      <c r="XL19" s="936"/>
      <c r="XM19" s="936"/>
      <c r="XN19" s="936"/>
      <c r="XO19" s="936"/>
      <c r="XP19" s="936"/>
      <c r="XQ19" s="936"/>
      <c r="XR19" s="936"/>
      <c r="XS19" s="936"/>
      <c r="XT19" s="936"/>
      <c r="XU19" s="936"/>
      <c r="XV19" s="936"/>
      <c r="XW19" s="936"/>
      <c r="XX19" s="936"/>
      <c r="XY19" s="936"/>
      <c r="XZ19" s="936"/>
      <c r="YA19" s="936"/>
      <c r="YB19" s="936"/>
      <c r="YC19" s="936"/>
      <c r="YD19" s="936"/>
      <c r="YE19" s="936"/>
      <c r="YF19" s="936"/>
      <c r="YG19" s="936"/>
      <c r="YH19" s="936"/>
      <c r="YI19" s="936"/>
      <c r="YJ19" s="936"/>
      <c r="YK19" s="936"/>
      <c r="YL19" s="936"/>
      <c r="YM19" s="936"/>
      <c r="YN19" s="936"/>
      <c r="YO19" s="936"/>
      <c r="YP19" s="936"/>
      <c r="YQ19" s="936"/>
      <c r="YR19" s="936"/>
      <c r="YS19" s="936"/>
      <c r="YT19" s="936"/>
      <c r="YU19" s="936"/>
      <c r="YV19" s="936"/>
      <c r="YW19" s="936"/>
      <c r="YX19" s="936"/>
      <c r="YY19" s="936"/>
      <c r="YZ19" s="936"/>
      <c r="ZA19" s="936"/>
      <c r="ZB19" s="936"/>
      <c r="ZC19" s="936"/>
      <c r="ZD19" s="936"/>
      <c r="ZE19" s="936"/>
      <c r="ZF19" s="936"/>
      <c r="ZG19" s="936"/>
      <c r="ZH19" s="936"/>
      <c r="ZI19" s="936"/>
      <c r="ZJ19" s="936"/>
      <c r="ZK19" s="936"/>
      <c r="ZL19" s="936"/>
      <c r="ZM19" s="936"/>
      <c r="ZN19" s="936"/>
      <c r="ZO19" s="936"/>
      <c r="ZP19" s="936"/>
      <c r="ZQ19" s="936"/>
      <c r="ZR19" s="936"/>
      <c r="ZS19" s="936"/>
      <c r="ZT19" s="936"/>
      <c r="ZU19" s="936"/>
      <c r="ZV19" s="936"/>
      <c r="ZW19" s="936"/>
      <c r="ZX19" s="936"/>
      <c r="ZY19" s="936"/>
      <c r="ZZ19" s="936"/>
      <c r="AAA19" s="936"/>
      <c r="AAB19" s="936"/>
      <c r="AAC19" s="936"/>
      <c r="AAD19" s="936"/>
      <c r="AAE19" s="936"/>
      <c r="AAF19" s="936"/>
      <c r="AAG19" s="936"/>
      <c r="AAH19" s="936"/>
      <c r="AAI19" s="936"/>
      <c r="AAJ19" s="936"/>
      <c r="AAK19" s="936"/>
      <c r="AAL19" s="936"/>
      <c r="AAM19" s="936"/>
      <c r="AAN19" s="936"/>
      <c r="AAO19" s="936"/>
      <c r="AAP19" s="936"/>
      <c r="AAQ19" s="936"/>
      <c r="AAR19" s="936"/>
      <c r="AAS19" s="936"/>
      <c r="AAT19" s="936"/>
      <c r="AAU19" s="936"/>
      <c r="AAV19" s="936"/>
      <c r="AAW19" s="936"/>
      <c r="AAX19" s="936"/>
      <c r="AAY19" s="936"/>
      <c r="AAZ19" s="936"/>
      <c r="ABA19" s="936"/>
      <c r="ABB19" s="936"/>
      <c r="ABC19" s="936"/>
      <c r="ABD19" s="936"/>
      <c r="ABE19" s="936"/>
      <c r="ABF19" s="936"/>
      <c r="ABG19" s="936"/>
      <c r="ABH19" s="936"/>
      <c r="ABI19" s="936"/>
      <c r="ABJ19" s="936"/>
      <c r="ABK19" s="936"/>
      <c r="ABL19" s="936"/>
      <c r="ABM19" s="936"/>
      <c r="ABN19" s="936"/>
      <c r="ABO19" s="936"/>
      <c r="ABP19" s="936"/>
      <c r="ABQ19" s="936"/>
      <c r="ABR19" s="936"/>
      <c r="ABS19" s="936"/>
      <c r="ABT19" s="936"/>
      <c r="ABU19" s="936"/>
      <c r="ABV19" s="936"/>
      <c r="ABW19" s="936"/>
      <c r="ABX19" s="936"/>
      <c r="ABY19" s="936"/>
      <c r="ABZ19" s="936"/>
      <c r="ACA19" s="936"/>
      <c r="ACB19" s="936"/>
      <c r="ACC19" s="936"/>
      <c r="ACD19" s="936"/>
      <c r="ACE19" s="936"/>
      <c r="ACF19" s="936"/>
      <c r="ACG19" s="936"/>
      <c r="ACH19" s="936"/>
      <c r="ACI19" s="936"/>
      <c r="ACJ19" s="936"/>
      <c r="ACK19" s="936"/>
      <c r="ACL19" s="936"/>
      <c r="ACM19" s="936"/>
      <c r="ACN19" s="936"/>
      <c r="ACO19" s="936"/>
      <c r="ACP19" s="936"/>
      <c r="ACQ19" s="936"/>
      <c r="ACR19" s="936"/>
      <c r="ACS19" s="936"/>
      <c r="ACT19" s="936"/>
      <c r="ACU19" s="936"/>
      <c r="ACV19" s="936"/>
      <c r="ACW19" s="936"/>
      <c r="ACX19" s="936"/>
      <c r="ACY19" s="936"/>
      <c r="ACZ19" s="936"/>
      <c r="ADA19" s="936"/>
      <c r="ADB19" s="936"/>
      <c r="ADC19" s="936"/>
      <c r="ADD19" s="936"/>
      <c r="ADE19" s="936"/>
      <c r="ADF19" s="936"/>
      <c r="ADG19" s="936"/>
      <c r="ADH19" s="936"/>
      <c r="ADI19" s="936"/>
      <c r="ADJ19" s="936"/>
      <c r="ADK19" s="936"/>
      <c r="ADL19" s="936"/>
      <c r="ADM19" s="936"/>
      <c r="ADN19" s="936"/>
      <c r="ADO19" s="936"/>
      <c r="ADP19" s="936"/>
      <c r="ADQ19" s="936"/>
      <c r="ADR19" s="936"/>
      <c r="ADS19" s="936"/>
      <c r="ADT19" s="936"/>
      <c r="ADU19" s="936"/>
      <c r="ADV19" s="936"/>
      <c r="ADW19" s="936"/>
      <c r="ADX19" s="936"/>
      <c r="ADY19" s="936"/>
      <c r="ADZ19" s="936"/>
      <c r="AEA19" s="936"/>
      <c r="AEB19" s="936"/>
      <c r="AEC19" s="936"/>
      <c r="AED19" s="936"/>
      <c r="AEE19" s="936"/>
      <c r="AEF19" s="936"/>
      <c r="AEG19" s="936"/>
      <c r="AEH19" s="936"/>
      <c r="AEI19" s="936"/>
      <c r="AEJ19" s="936"/>
      <c r="AEK19" s="936"/>
      <c r="AEL19" s="936"/>
      <c r="AEM19" s="936"/>
      <c r="AEN19" s="936"/>
      <c r="AEO19" s="936"/>
      <c r="AEP19" s="936"/>
      <c r="AEQ19" s="936"/>
      <c r="AER19" s="936"/>
      <c r="AES19" s="936"/>
      <c r="AET19" s="936"/>
      <c r="AEU19" s="936"/>
      <c r="AEV19" s="936"/>
      <c r="AEW19" s="936"/>
      <c r="AEX19" s="936"/>
      <c r="AEY19" s="936"/>
      <c r="AEZ19" s="936"/>
      <c r="AFA19" s="936"/>
      <c r="AFB19" s="936"/>
      <c r="AFC19" s="936"/>
      <c r="AFD19" s="936"/>
      <c r="AFE19" s="936"/>
      <c r="AFF19" s="936"/>
      <c r="AFG19" s="936"/>
      <c r="AFH19" s="936"/>
      <c r="AFI19" s="936"/>
      <c r="AFJ19" s="936"/>
      <c r="AFK19" s="936"/>
      <c r="AFL19" s="936"/>
      <c r="AFM19" s="936"/>
      <c r="AFN19" s="936"/>
      <c r="AFO19" s="936"/>
      <c r="AFP19" s="936"/>
      <c r="AFQ19" s="936"/>
      <c r="AFR19" s="936"/>
      <c r="AFS19" s="936"/>
      <c r="AFT19" s="936"/>
      <c r="AFU19" s="936"/>
      <c r="AFV19" s="936"/>
      <c r="AFW19" s="936"/>
      <c r="AFX19" s="936"/>
      <c r="AFY19" s="936"/>
      <c r="AFZ19" s="936"/>
      <c r="AGA19" s="936"/>
      <c r="AGB19" s="936"/>
      <c r="AGC19" s="936"/>
      <c r="AGD19" s="936"/>
      <c r="AGE19" s="936"/>
      <c r="AGF19" s="936"/>
      <c r="AGG19" s="936"/>
      <c r="AGH19" s="936"/>
      <c r="AGI19" s="936"/>
      <c r="AGJ19" s="936"/>
      <c r="AGK19" s="936"/>
      <c r="AGL19" s="936"/>
      <c r="AGM19" s="936"/>
      <c r="AGN19" s="936"/>
      <c r="AGO19" s="936"/>
      <c r="AGP19" s="936"/>
      <c r="AGQ19" s="936"/>
      <c r="AGR19" s="936"/>
      <c r="AGS19" s="936"/>
      <c r="AGT19" s="936"/>
      <c r="AGU19" s="936"/>
      <c r="AGV19" s="936"/>
      <c r="AGW19" s="936"/>
      <c r="AGX19" s="936"/>
      <c r="AGY19" s="936"/>
      <c r="AGZ19" s="936"/>
      <c r="AHA19" s="936"/>
      <c r="AHB19" s="936"/>
      <c r="AHC19" s="936"/>
      <c r="AHD19" s="936"/>
      <c r="AHE19" s="936"/>
      <c r="AHF19" s="936"/>
      <c r="AHG19" s="936"/>
      <c r="AHH19" s="936"/>
      <c r="AHI19" s="936"/>
      <c r="AHJ19" s="936"/>
      <c r="AHK19" s="936"/>
      <c r="AHL19" s="936"/>
      <c r="AHM19" s="936"/>
      <c r="AHN19" s="936"/>
      <c r="AHO19" s="936"/>
      <c r="AHP19" s="936"/>
      <c r="AHQ19" s="936"/>
      <c r="AHR19" s="936"/>
      <c r="AHS19" s="936"/>
      <c r="AHT19" s="936"/>
      <c r="AHU19" s="936"/>
      <c r="AHV19" s="936"/>
      <c r="AHW19" s="936"/>
      <c r="AHX19" s="936"/>
      <c r="AHY19" s="936"/>
      <c r="AHZ19" s="936"/>
      <c r="AIA19" s="936"/>
      <c r="AIB19" s="936"/>
      <c r="AIC19" s="936"/>
      <c r="AID19" s="936"/>
      <c r="AIE19" s="936"/>
      <c r="AIF19" s="936"/>
      <c r="AIG19" s="936"/>
      <c r="AIH19" s="936"/>
      <c r="AII19" s="936"/>
      <c r="AIJ19" s="936"/>
      <c r="AIK19" s="936"/>
      <c r="AIL19" s="936"/>
      <c r="AIM19" s="936"/>
      <c r="AIN19" s="936"/>
      <c r="AIO19" s="936"/>
      <c r="AIP19" s="936"/>
      <c r="AIQ19" s="936"/>
      <c r="AIR19" s="936"/>
      <c r="AIS19" s="936"/>
      <c r="AIT19" s="936"/>
      <c r="AIU19" s="936"/>
      <c r="AIV19" s="936"/>
      <c r="AIW19" s="936"/>
      <c r="AIX19" s="936"/>
      <c r="AIY19" s="936"/>
      <c r="AIZ19" s="936"/>
      <c r="AJA19" s="936"/>
      <c r="AJB19" s="936"/>
      <c r="AJC19" s="936"/>
      <c r="AJD19" s="936"/>
      <c r="AJE19" s="936"/>
      <c r="AJF19" s="936"/>
      <c r="AJG19" s="936"/>
      <c r="AJH19" s="936"/>
      <c r="AJI19" s="936"/>
      <c r="AJJ19" s="936"/>
      <c r="AJK19" s="936"/>
      <c r="AJL19" s="936"/>
      <c r="AJM19" s="936"/>
      <c r="AJN19" s="936"/>
      <c r="AJO19" s="936"/>
      <c r="AJP19" s="936"/>
      <c r="AJQ19" s="936"/>
      <c r="AJR19" s="936"/>
      <c r="AJS19" s="936"/>
      <c r="AJT19" s="936"/>
      <c r="AJU19" s="936"/>
      <c r="AJV19" s="936"/>
      <c r="AJW19" s="936"/>
      <c r="AJX19" s="936"/>
      <c r="AJY19" s="936"/>
      <c r="AJZ19" s="936"/>
      <c r="AKA19" s="936"/>
      <c r="AKB19" s="936"/>
      <c r="AKC19" s="936"/>
      <c r="AKD19" s="936"/>
      <c r="AKE19" s="936"/>
      <c r="AKF19" s="936"/>
      <c r="AKG19" s="936"/>
      <c r="AKH19" s="936"/>
      <c r="AKI19" s="936"/>
      <c r="AKJ19" s="936"/>
      <c r="AKK19" s="936"/>
      <c r="AKL19" s="936"/>
      <c r="AKM19" s="936"/>
      <c r="AKN19" s="936"/>
      <c r="AKO19" s="936"/>
      <c r="AKP19" s="936"/>
      <c r="AKQ19" s="936"/>
      <c r="AKR19" s="936"/>
      <c r="AKS19" s="936"/>
      <c r="AKT19" s="936"/>
      <c r="AKU19" s="936"/>
      <c r="AKV19" s="936"/>
      <c r="AKW19" s="936"/>
      <c r="AKX19" s="936"/>
      <c r="AKY19" s="936"/>
      <c r="AKZ19" s="936"/>
      <c r="ALA19" s="936"/>
      <c r="ALB19" s="936"/>
      <c r="ALC19" s="936"/>
      <c r="ALD19" s="936"/>
      <c r="ALE19" s="936"/>
      <c r="ALF19" s="936"/>
      <c r="ALG19" s="936"/>
      <c r="ALH19" s="936"/>
      <c r="ALI19" s="936"/>
      <c r="ALJ19" s="936"/>
      <c r="ALK19" s="936"/>
      <c r="ALL19" s="936"/>
      <c r="ALM19" s="936"/>
      <c r="ALN19" s="936"/>
      <c r="ALO19" s="936"/>
      <c r="ALP19" s="936"/>
      <c r="ALQ19" s="936"/>
      <c r="ALR19" s="936"/>
      <c r="ALS19" s="936"/>
      <c r="ALT19" s="936"/>
      <c r="ALU19" s="936"/>
      <c r="ALV19" s="936"/>
      <c r="ALW19" s="936"/>
      <c r="ALX19" s="936"/>
      <c r="ALY19" s="936"/>
      <c r="ALZ19" s="936"/>
      <c r="AMA19" s="936"/>
      <c r="AMB19" s="936"/>
      <c r="AMC19" s="936"/>
      <c r="AMD19" s="936"/>
      <c r="AME19" s="936"/>
      <c r="AMF19" s="936"/>
      <c r="AMG19" s="936"/>
      <c r="AMH19" s="936"/>
      <c r="AMI19" s="936"/>
      <c r="AMJ19" s="936"/>
      <c r="AMK19" s="936"/>
      <c r="AML19" s="936"/>
      <c r="AMM19" s="936"/>
      <c r="AMN19" s="936"/>
      <c r="AMO19" s="936"/>
      <c r="AMP19" s="936"/>
      <c r="AMQ19" s="936"/>
      <c r="AMR19" s="936"/>
      <c r="AMS19" s="936"/>
      <c r="AMT19" s="936"/>
      <c r="AMU19" s="936"/>
      <c r="AMV19" s="936"/>
      <c r="AMW19" s="936"/>
      <c r="AMX19" s="936"/>
      <c r="AMY19" s="936"/>
      <c r="AMZ19" s="936"/>
      <c r="ANA19" s="936"/>
      <c r="ANB19" s="936"/>
      <c r="ANC19" s="936"/>
      <c r="AND19" s="936"/>
      <c r="ANE19" s="936"/>
      <c r="ANF19" s="936"/>
      <c r="ANG19" s="936"/>
      <c r="ANH19" s="936"/>
      <c r="ANI19" s="936"/>
      <c r="ANJ19" s="936"/>
      <c r="ANK19" s="936"/>
      <c r="ANL19" s="936"/>
      <c r="ANM19" s="936"/>
      <c r="ANN19" s="936"/>
      <c r="ANO19" s="936"/>
      <c r="ANP19" s="936"/>
      <c r="ANQ19" s="936"/>
      <c r="ANR19" s="936"/>
      <c r="ANS19" s="936"/>
      <c r="ANT19" s="936"/>
      <c r="ANU19" s="936"/>
      <c r="ANV19" s="936"/>
      <c r="ANW19" s="936"/>
      <c r="ANX19" s="936"/>
      <c r="ANY19" s="936"/>
      <c r="ANZ19" s="936"/>
      <c r="AOA19" s="936"/>
      <c r="AOB19" s="936"/>
      <c r="AOC19" s="936"/>
      <c r="AOD19" s="936"/>
      <c r="AOE19" s="936"/>
      <c r="AOF19" s="936"/>
      <c r="AOG19" s="936"/>
      <c r="AOH19" s="936"/>
      <c r="AOI19" s="936"/>
      <c r="AOJ19" s="936"/>
      <c r="AOK19" s="936"/>
      <c r="AOL19" s="936"/>
      <c r="AOM19" s="936"/>
      <c r="AON19" s="936"/>
      <c r="AOO19" s="936"/>
      <c r="AOP19" s="936"/>
      <c r="AOQ19" s="936"/>
      <c r="AOR19" s="936"/>
      <c r="AOS19" s="936"/>
      <c r="AOT19" s="936"/>
      <c r="AOU19" s="936"/>
      <c r="AOV19" s="936"/>
      <c r="AOW19" s="936"/>
      <c r="AOX19" s="936"/>
      <c r="AOY19" s="936"/>
      <c r="AOZ19" s="936"/>
      <c r="APA19" s="936"/>
      <c r="APB19" s="936"/>
      <c r="APC19" s="936"/>
      <c r="APD19" s="936"/>
      <c r="APE19" s="936"/>
      <c r="APF19" s="936"/>
      <c r="APG19" s="936"/>
      <c r="APH19" s="936"/>
      <c r="API19" s="936"/>
      <c r="APJ19" s="936"/>
      <c r="APK19" s="936"/>
      <c r="APL19" s="936"/>
      <c r="APM19" s="936"/>
      <c r="APN19" s="936"/>
      <c r="APO19" s="936"/>
      <c r="APP19" s="936"/>
      <c r="APQ19" s="936"/>
      <c r="APR19" s="936"/>
      <c r="APS19" s="936"/>
      <c r="APT19" s="936"/>
      <c r="APU19" s="936"/>
      <c r="APV19" s="936"/>
      <c r="APW19" s="936"/>
      <c r="APX19" s="936"/>
      <c r="APY19" s="936"/>
      <c r="APZ19" s="936"/>
      <c r="AQA19" s="936"/>
      <c r="AQB19" s="936"/>
      <c r="AQC19" s="936"/>
      <c r="AQD19" s="936"/>
      <c r="AQE19" s="936"/>
      <c r="AQF19" s="936"/>
      <c r="AQG19" s="936"/>
      <c r="AQH19" s="936"/>
      <c r="AQI19" s="936"/>
      <c r="AQJ19" s="936"/>
      <c r="AQK19" s="936"/>
      <c r="AQL19" s="936"/>
      <c r="AQM19" s="936"/>
      <c r="AQN19" s="936"/>
      <c r="AQO19" s="936"/>
      <c r="AQP19" s="936"/>
      <c r="AQQ19" s="936"/>
      <c r="AQR19" s="936"/>
      <c r="AQS19" s="936"/>
      <c r="AQT19" s="936"/>
      <c r="AQU19" s="936"/>
      <c r="AQV19" s="936"/>
      <c r="AQW19" s="936"/>
      <c r="AQX19" s="936"/>
      <c r="AQY19" s="936"/>
      <c r="AQZ19" s="936"/>
      <c r="ARA19" s="936"/>
      <c r="ARB19" s="936"/>
      <c r="ARC19" s="936"/>
      <c r="ARD19" s="936"/>
      <c r="ARE19" s="936"/>
      <c r="ARF19" s="936"/>
      <c r="ARG19" s="936"/>
      <c r="ARH19" s="936"/>
      <c r="ARI19" s="936"/>
      <c r="ARJ19" s="936"/>
      <c r="ARK19" s="936"/>
      <c r="ARL19" s="936"/>
      <c r="ARM19" s="936"/>
      <c r="ARN19" s="936"/>
      <c r="ARO19" s="936"/>
      <c r="ARP19" s="936"/>
      <c r="ARQ19" s="936"/>
      <c r="ARR19" s="936"/>
      <c r="ARS19" s="936"/>
      <c r="ART19" s="936"/>
      <c r="ARU19" s="936"/>
      <c r="ARV19" s="936"/>
      <c r="ARW19" s="936"/>
      <c r="ARX19" s="936"/>
      <c r="ARY19" s="936"/>
      <c r="ARZ19" s="936"/>
      <c r="ASA19" s="936"/>
      <c r="ASB19" s="936"/>
      <c r="ASC19" s="936"/>
      <c r="ASD19" s="936"/>
      <c r="ASE19" s="936"/>
      <c r="ASF19" s="936"/>
      <c r="ASG19" s="936"/>
      <c r="ASH19" s="936"/>
      <c r="ASI19" s="936"/>
      <c r="ASJ19" s="936"/>
      <c r="ASK19" s="936"/>
      <c r="ASL19" s="936"/>
      <c r="ASM19" s="936"/>
      <c r="ASN19" s="936"/>
      <c r="ASO19" s="936"/>
      <c r="ASP19" s="936"/>
      <c r="ASQ19" s="936"/>
      <c r="ASR19" s="936"/>
      <c r="ASS19" s="936"/>
      <c r="AST19" s="936"/>
      <c r="ASU19" s="936"/>
      <c r="ASV19" s="936"/>
      <c r="ASW19" s="936"/>
      <c r="ASX19" s="936"/>
      <c r="ASY19" s="936"/>
      <c r="ASZ19" s="936"/>
      <c r="ATA19" s="936"/>
      <c r="ATB19" s="936"/>
      <c r="ATC19" s="936"/>
      <c r="ATD19" s="936"/>
      <c r="ATE19" s="936"/>
      <c r="ATF19" s="936"/>
      <c r="ATG19" s="936"/>
      <c r="ATH19" s="936"/>
      <c r="ATI19" s="936"/>
      <c r="ATJ19" s="936"/>
      <c r="ATK19" s="936"/>
      <c r="ATL19" s="936"/>
      <c r="ATM19" s="936"/>
      <c r="ATN19" s="936"/>
      <c r="ATO19" s="936"/>
      <c r="ATP19" s="936"/>
      <c r="ATQ19" s="936"/>
      <c r="ATR19" s="936"/>
      <c r="ATS19" s="936"/>
      <c r="ATT19" s="936"/>
      <c r="ATU19" s="936"/>
      <c r="ATV19" s="936"/>
      <c r="ATW19" s="936"/>
      <c r="ATX19" s="936"/>
      <c r="ATY19" s="936"/>
      <c r="ATZ19" s="936"/>
      <c r="AUA19" s="936"/>
      <c r="AUB19" s="936"/>
      <c r="AUC19" s="936"/>
      <c r="AUD19" s="936"/>
      <c r="AUE19" s="936"/>
      <c r="AUF19" s="936"/>
      <c r="AUG19" s="936"/>
      <c r="AUH19" s="936"/>
      <c r="AUI19" s="936"/>
      <c r="AUJ19" s="936"/>
      <c r="AUK19" s="936"/>
      <c r="AUL19" s="936"/>
      <c r="AUM19" s="936"/>
      <c r="AUN19" s="936"/>
      <c r="AUO19" s="936"/>
      <c r="AUP19" s="936"/>
      <c r="AUQ19" s="936"/>
      <c r="AUR19" s="936"/>
      <c r="AUS19" s="936"/>
      <c r="AUT19" s="936"/>
      <c r="AUU19" s="936"/>
      <c r="AUV19" s="936"/>
      <c r="AUW19" s="936"/>
      <c r="AUX19" s="936"/>
      <c r="AUY19" s="936"/>
      <c r="AUZ19" s="936"/>
      <c r="AVA19" s="936"/>
      <c r="AVB19" s="936"/>
      <c r="AVC19" s="936"/>
      <c r="AVD19" s="936"/>
      <c r="AVE19" s="936"/>
      <c r="AVF19" s="936"/>
      <c r="AVG19" s="936"/>
      <c r="AVH19" s="936"/>
      <c r="AVI19" s="936"/>
      <c r="AVJ19" s="936"/>
      <c r="AVK19" s="936"/>
      <c r="AVL19" s="936"/>
      <c r="AVM19" s="936"/>
      <c r="AVN19" s="936"/>
      <c r="AVO19" s="936"/>
      <c r="AVP19" s="936"/>
      <c r="AVQ19" s="936"/>
      <c r="AVR19" s="936"/>
      <c r="AVS19" s="936"/>
      <c r="AVT19" s="936"/>
      <c r="AVU19" s="936"/>
      <c r="AVV19" s="936"/>
      <c r="AVW19" s="936"/>
      <c r="AVX19" s="936"/>
      <c r="AVY19" s="936"/>
      <c r="AVZ19" s="936"/>
      <c r="AWA19" s="936"/>
      <c r="AWB19" s="936"/>
      <c r="AWC19" s="936"/>
      <c r="AWD19" s="936"/>
      <c r="AWE19" s="936"/>
      <c r="AWF19" s="936"/>
      <c r="AWG19" s="936"/>
      <c r="AWH19" s="936"/>
      <c r="AWI19" s="936"/>
      <c r="AWJ19" s="936"/>
      <c r="AWK19" s="936"/>
      <c r="AWL19" s="936"/>
      <c r="AWM19" s="936"/>
      <c r="AWN19" s="936"/>
      <c r="AWO19" s="936"/>
      <c r="AWP19" s="936"/>
      <c r="AWQ19" s="936"/>
      <c r="AWR19" s="936"/>
      <c r="AWS19" s="936"/>
      <c r="AWT19" s="936"/>
      <c r="AWU19" s="936"/>
      <c r="AWV19" s="936"/>
      <c r="AWW19" s="936"/>
      <c r="AWX19" s="936"/>
      <c r="AWY19" s="936"/>
      <c r="AWZ19" s="936"/>
      <c r="AXA19" s="936"/>
      <c r="AXB19" s="936"/>
      <c r="AXC19" s="936"/>
      <c r="AXD19" s="936"/>
      <c r="AXE19" s="936"/>
      <c r="AXF19" s="936"/>
      <c r="AXG19" s="936"/>
      <c r="AXH19" s="936"/>
      <c r="AXI19" s="936"/>
      <c r="AXJ19" s="936"/>
      <c r="AXK19" s="936"/>
      <c r="AXL19" s="936"/>
      <c r="AXM19" s="936"/>
      <c r="AXN19" s="936"/>
      <c r="AXO19" s="936"/>
      <c r="AXP19" s="936"/>
      <c r="AXQ19" s="936"/>
      <c r="AXR19" s="936"/>
      <c r="AXS19" s="936"/>
      <c r="AXT19" s="936"/>
      <c r="AXU19" s="936"/>
      <c r="AXV19" s="936"/>
      <c r="AXW19" s="936"/>
      <c r="AXX19" s="936"/>
      <c r="AXY19" s="936"/>
      <c r="AXZ19" s="936"/>
      <c r="AYA19" s="936"/>
      <c r="AYB19" s="936"/>
      <c r="AYC19" s="936"/>
      <c r="AYD19" s="936"/>
      <c r="AYE19" s="936"/>
      <c r="AYF19" s="936"/>
      <c r="AYG19" s="936"/>
      <c r="AYH19" s="936"/>
      <c r="AYI19" s="936"/>
      <c r="AYJ19" s="936"/>
      <c r="AYK19" s="936"/>
      <c r="AYL19" s="936"/>
      <c r="AYM19" s="936"/>
      <c r="AYN19" s="936"/>
      <c r="AYO19" s="936"/>
      <c r="AYP19" s="936"/>
      <c r="AYQ19" s="936"/>
      <c r="AYR19" s="936"/>
      <c r="AYS19" s="936"/>
      <c r="AYT19" s="936"/>
      <c r="AYU19" s="936"/>
      <c r="AYV19" s="936"/>
      <c r="AYW19" s="936"/>
      <c r="AYX19" s="936"/>
      <c r="AYY19" s="936"/>
      <c r="AYZ19" s="936"/>
      <c r="AZA19" s="936"/>
      <c r="AZB19" s="936"/>
      <c r="AZC19" s="936"/>
      <c r="AZD19" s="936"/>
      <c r="AZE19" s="936"/>
      <c r="AZF19" s="936"/>
      <c r="AZG19" s="936"/>
      <c r="AZH19" s="936"/>
      <c r="AZI19" s="936"/>
      <c r="AZJ19" s="936"/>
      <c r="AZK19" s="936"/>
      <c r="AZL19" s="936"/>
      <c r="AZM19" s="936"/>
      <c r="AZN19" s="936"/>
      <c r="AZO19" s="936"/>
      <c r="AZP19" s="936"/>
      <c r="AZQ19" s="936"/>
      <c r="AZR19" s="936"/>
      <c r="AZS19" s="936"/>
      <c r="AZT19" s="936"/>
      <c r="AZU19" s="936"/>
      <c r="AZV19" s="936"/>
      <c r="AZW19" s="936"/>
      <c r="AZX19" s="936"/>
      <c r="AZY19" s="936"/>
      <c r="AZZ19" s="936"/>
      <c r="BAA19" s="936"/>
      <c r="BAB19" s="936"/>
      <c r="BAC19" s="936"/>
      <c r="BAD19" s="936"/>
      <c r="BAE19" s="936"/>
      <c r="BAF19" s="936"/>
      <c r="BAG19" s="936"/>
      <c r="BAH19" s="936"/>
      <c r="BAI19" s="936"/>
      <c r="BAJ19" s="936"/>
      <c r="BAK19" s="936"/>
      <c r="BAL19" s="936"/>
      <c r="BAM19" s="936"/>
      <c r="BAN19" s="936"/>
      <c r="BAO19" s="936"/>
      <c r="BAP19" s="936"/>
      <c r="BAQ19" s="936"/>
      <c r="BAR19" s="936"/>
      <c r="BAS19" s="936"/>
      <c r="BAT19" s="936"/>
      <c r="BAU19" s="936"/>
      <c r="BAV19" s="936"/>
      <c r="BAW19" s="936"/>
      <c r="BAX19" s="936"/>
      <c r="BAY19" s="936"/>
      <c r="BAZ19" s="936"/>
      <c r="BBA19" s="936"/>
      <c r="BBB19" s="936"/>
      <c r="BBC19" s="936"/>
      <c r="BBD19" s="936"/>
      <c r="BBE19" s="936"/>
      <c r="BBF19" s="936"/>
      <c r="BBG19" s="936"/>
      <c r="BBH19" s="936"/>
      <c r="BBI19" s="936"/>
      <c r="BBJ19" s="936"/>
      <c r="BBK19" s="936"/>
      <c r="BBL19" s="936"/>
      <c r="BBM19" s="936"/>
      <c r="BBN19" s="936"/>
      <c r="BBO19" s="936"/>
      <c r="BBP19" s="936"/>
      <c r="BBQ19" s="936"/>
      <c r="BBR19" s="936"/>
      <c r="BBS19" s="936"/>
      <c r="BBT19" s="936"/>
      <c r="BBU19" s="936"/>
      <c r="BBV19" s="936"/>
      <c r="BBW19" s="936"/>
      <c r="BBX19" s="936"/>
      <c r="BBY19" s="936"/>
      <c r="BBZ19" s="936"/>
      <c r="BCA19" s="936"/>
      <c r="BCB19" s="936"/>
      <c r="BCC19" s="936"/>
      <c r="BCD19" s="936"/>
      <c r="BCE19" s="936"/>
      <c r="BCF19" s="936"/>
      <c r="BCG19" s="936"/>
      <c r="BCH19" s="936"/>
      <c r="BCI19" s="936"/>
      <c r="BCJ19" s="936"/>
      <c r="BCK19" s="936"/>
      <c r="BCL19" s="936"/>
      <c r="BCM19" s="936"/>
      <c r="BCN19" s="936"/>
      <c r="BCO19" s="936"/>
      <c r="BCP19" s="936"/>
      <c r="BCQ19" s="936"/>
      <c r="BCR19" s="936"/>
      <c r="BCS19" s="936"/>
      <c r="BCT19" s="936"/>
      <c r="BCU19" s="936"/>
      <c r="BCV19" s="936"/>
      <c r="BCW19" s="936"/>
      <c r="BCX19" s="936"/>
      <c r="BCY19" s="936"/>
      <c r="BCZ19" s="936"/>
      <c r="BDA19" s="936"/>
      <c r="BDB19" s="936"/>
      <c r="BDC19" s="936"/>
      <c r="BDD19" s="936"/>
      <c r="BDE19" s="936"/>
      <c r="BDF19" s="936"/>
      <c r="BDG19" s="936"/>
      <c r="BDH19" s="936"/>
      <c r="BDI19" s="936"/>
      <c r="BDJ19" s="936"/>
      <c r="BDK19" s="936"/>
      <c r="BDL19" s="936"/>
      <c r="BDM19" s="936"/>
      <c r="BDN19" s="936"/>
      <c r="BDO19" s="936"/>
      <c r="BDP19" s="936"/>
      <c r="BDQ19" s="936"/>
      <c r="BDR19" s="936"/>
      <c r="BDS19" s="936"/>
      <c r="BDT19" s="936"/>
      <c r="BDU19" s="936"/>
      <c r="BDV19" s="936"/>
      <c r="BDW19" s="936"/>
      <c r="BDX19" s="936"/>
      <c r="BDY19" s="936"/>
      <c r="BDZ19" s="936"/>
      <c r="BEA19" s="936"/>
      <c r="BEB19" s="936"/>
      <c r="BEC19" s="936"/>
      <c r="BED19" s="936"/>
      <c r="BEE19" s="936"/>
      <c r="BEF19" s="936"/>
      <c r="BEG19" s="936"/>
      <c r="BEH19" s="936"/>
      <c r="BEI19" s="936"/>
      <c r="BEJ19" s="936"/>
      <c r="BEK19" s="936"/>
      <c r="BEL19" s="936"/>
      <c r="BEM19" s="936"/>
      <c r="BEN19" s="936"/>
      <c r="BEO19" s="936"/>
      <c r="BEP19" s="936"/>
      <c r="BEQ19" s="936"/>
      <c r="BER19" s="936"/>
      <c r="BES19" s="936"/>
      <c r="BET19" s="936"/>
      <c r="BEU19" s="936"/>
      <c r="BEV19" s="936"/>
      <c r="BEW19" s="936"/>
      <c r="BEX19" s="936"/>
      <c r="BEY19" s="936"/>
      <c r="BEZ19" s="936"/>
      <c r="BFA19" s="936"/>
      <c r="BFB19" s="936"/>
      <c r="BFC19" s="936"/>
      <c r="BFD19" s="936"/>
      <c r="BFE19" s="936"/>
      <c r="BFF19" s="936"/>
      <c r="BFG19" s="936"/>
      <c r="BFH19" s="936"/>
      <c r="BFI19" s="936"/>
      <c r="BFJ19" s="936"/>
      <c r="BFK19" s="936"/>
      <c r="BFL19" s="936"/>
      <c r="BFM19" s="936"/>
      <c r="BFN19" s="936"/>
      <c r="BFO19" s="936"/>
      <c r="BFP19" s="936"/>
      <c r="BFQ19" s="936"/>
      <c r="BFR19" s="936"/>
      <c r="BFS19" s="936"/>
      <c r="BFT19" s="936"/>
      <c r="BFU19" s="936"/>
      <c r="BFV19" s="936"/>
      <c r="BFW19" s="936"/>
      <c r="BFX19" s="936"/>
      <c r="BFY19" s="936"/>
      <c r="BFZ19" s="936"/>
      <c r="BGA19" s="936"/>
      <c r="BGB19" s="936"/>
      <c r="BGC19" s="936"/>
      <c r="BGD19" s="936"/>
      <c r="BGE19" s="936"/>
      <c r="BGF19" s="936"/>
      <c r="BGG19" s="936"/>
      <c r="BGH19" s="936"/>
      <c r="BGI19" s="936"/>
      <c r="BGJ19" s="936"/>
      <c r="BGK19" s="936"/>
      <c r="BGL19" s="936"/>
      <c r="BGM19" s="936"/>
      <c r="BGN19" s="936"/>
      <c r="BGO19" s="936"/>
      <c r="BGP19" s="936"/>
      <c r="BGQ19" s="936"/>
      <c r="BGR19" s="936"/>
      <c r="BGS19" s="936"/>
      <c r="BGT19" s="936"/>
      <c r="BGU19" s="936"/>
      <c r="BGV19" s="936"/>
      <c r="BGW19" s="936"/>
      <c r="BGX19" s="936"/>
      <c r="BGY19" s="936"/>
      <c r="BGZ19" s="936"/>
      <c r="BHA19" s="936"/>
      <c r="BHB19" s="936"/>
      <c r="BHC19" s="936"/>
      <c r="BHD19" s="936"/>
      <c r="BHE19" s="936"/>
      <c r="BHF19" s="936"/>
      <c r="BHG19" s="936"/>
      <c r="BHH19" s="936"/>
      <c r="BHI19" s="936"/>
      <c r="BHJ19" s="936"/>
      <c r="BHK19" s="936"/>
      <c r="BHL19" s="936"/>
      <c r="BHM19" s="936"/>
      <c r="BHN19" s="936"/>
      <c r="BHO19" s="936"/>
      <c r="BHP19" s="936"/>
      <c r="BHQ19" s="936"/>
      <c r="BHR19" s="936"/>
      <c r="BHS19" s="936"/>
      <c r="BHT19" s="936"/>
      <c r="BHU19" s="936"/>
      <c r="BHV19" s="936"/>
      <c r="BHW19" s="936"/>
      <c r="BHX19" s="936"/>
      <c r="BHY19" s="936"/>
      <c r="BHZ19" s="936"/>
      <c r="BIA19" s="936"/>
      <c r="BIB19" s="936"/>
      <c r="BIC19" s="936"/>
      <c r="BID19" s="936"/>
      <c r="BIE19" s="936"/>
      <c r="BIF19" s="936"/>
      <c r="BIG19" s="936"/>
      <c r="BIH19" s="936"/>
      <c r="BII19" s="936"/>
      <c r="BIJ19" s="936"/>
      <c r="BIK19" s="936"/>
      <c r="BIL19" s="936"/>
      <c r="BIM19" s="936"/>
      <c r="BIN19" s="936"/>
      <c r="BIO19" s="936"/>
      <c r="BIP19" s="936"/>
      <c r="BIQ19" s="936"/>
      <c r="BIR19" s="936"/>
      <c r="BIS19" s="936"/>
      <c r="BIT19" s="936"/>
      <c r="BIU19" s="936"/>
      <c r="BIV19" s="936"/>
      <c r="BIW19" s="936"/>
      <c r="BIX19" s="936"/>
      <c r="BIY19" s="936"/>
      <c r="BIZ19" s="936"/>
      <c r="BJA19" s="936"/>
      <c r="BJB19" s="936"/>
      <c r="BJC19" s="936"/>
      <c r="BJD19" s="936"/>
      <c r="BJE19" s="936"/>
      <c r="BJF19" s="936"/>
      <c r="BJG19" s="936"/>
      <c r="BJH19" s="936"/>
      <c r="BJI19" s="936"/>
      <c r="BJJ19" s="936"/>
      <c r="BJK19" s="936"/>
      <c r="BJL19" s="936"/>
      <c r="BJM19" s="936"/>
      <c r="BJN19" s="936"/>
      <c r="BJO19" s="936"/>
      <c r="BJP19" s="936"/>
      <c r="BJQ19" s="936"/>
      <c r="BJR19" s="936"/>
      <c r="BJS19" s="936"/>
      <c r="BJT19" s="936"/>
      <c r="BJU19" s="936"/>
      <c r="BJV19" s="936"/>
      <c r="BJW19" s="936"/>
      <c r="BJX19" s="936"/>
      <c r="BJY19" s="936"/>
      <c r="BJZ19" s="936"/>
      <c r="BKA19" s="936"/>
      <c r="BKB19" s="936"/>
      <c r="BKC19" s="936"/>
      <c r="BKD19" s="936"/>
      <c r="BKE19" s="936"/>
      <c r="BKF19" s="936"/>
      <c r="BKG19" s="936"/>
      <c r="BKH19" s="936"/>
      <c r="BKI19" s="936"/>
      <c r="BKJ19" s="936"/>
      <c r="BKK19" s="936"/>
      <c r="BKL19" s="936"/>
      <c r="BKM19" s="936"/>
      <c r="BKN19" s="936"/>
      <c r="BKO19" s="936"/>
      <c r="BKP19" s="936"/>
      <c r="BKQ19" s="936"/>
      <c r="BKR19" s="936"/>
      <c r="BKS19" s="936"/>
      <c r="BKT19" s="936"/>
      <c r="BKU19" s="936"/>
      <c r="BKV19" s="936"/>
      <c r="BKW19" s="936"/>
      <c r="BKX19" s="936"/>
      <c r="BKY19" s="936"/>
      <c r="BKZ19" s="936"/>
      <c r="BLA19" s="936"/>
      <c r="BLB19" s="936"/>
      <c r="BLC19" s="936"/>
      <c r="BLD19" s="936"/>
      <c r="BLE19" s="936"/>
      <c r="BLF19" s="936"/>
      <c r="BLG19" s="936"/>
      <c r="BLH19" s="936"/>
      <c r="BLI19" s="936"/>
      <c r="BLJ19" s="936"/>
      <c r="BLK19" s="936"/>
      <c r="BLL19" s="936"/>
      <c r="BLM19" s="936"/>
      <c r="BLN19" s="936"/>
      <c r="BLO19" s="936"/>
      <c r="BLP19" s="936"/>
      <c r="BLQ19" s="936"/>
      <c r="BLR19" s="936"/>
      <c r="BLS19" s="936"/>
      <c r="BLT19" s="936"/>
      <c r="BLU19" s="936"/>
      <c r="BLV19" s="936"/>
      <c r="BLW19" s="936"/>
      <c r="BLX19" s="936"/>
      <c r="BLY19" s="936"/>
      <c r="BLZ19" s="936"/>
      <c r="BMA19" s="936"/>
      <c r="BMB19" s="936"/>
      <c r="BMC19" s="936"/>
      <c r="BMD19" s="936"/>
      <c r="BME19" s="936"/>
      <c r="BMF19" s="936"/>
      <c r="BMG19" s="936"/>
      <c r="BMH19" s="936"/>
      <c r="BMI19" s="936"/>
      <c r="BMJ19" s="936"/>
      <c r="BMK19" s="936"/>
      <c r="BML19" s="936"/>
      <c r="BMM19" s="936"/>
      <c r="BMN19" s="936"/>
      <c r="BMO19" s="936"/>
      <c r="BMP19" s="936"/>
      <c r="BMQ19" s="936"/>
      <c r="BMR19" s="936"/>
      <c r="BMS19" s="936"/>
      <c r="BMT19" s="936"/>
      <c r="BMU19" s="936"/>
      <c r="BMV19" s="936"/>
      <c r="BMW19" s="936"/>
      <c r="BMX19" s="936"/>
      <c r="BMY19" s="936"/>
      <c r="BMZ19" s="936"/>
      <c r="BNA19" s="936"/>
      <c r="BNB19" s="936"/>
      <c r="BNC19" s="936"/>
      <c r="BND19" s="936"/>
      <c r="BNE19" s="936"/>
      <c r="BNF19" s="936"/>
      <c r="BNG19" s="936"/>
      <c r="BNH19" s="936"/>
      <c r="BNI19" s="936"/>
      <c r="BNJ19" s="936"/>
      <c r="BNK19" s="936"/>
      <c r="BNL19" s="936"/>
      <c r="BNM19" s="936"/>
      <c r="BNN19" s="936"/>
      <c r="BNO19" s="936"/>
      <c r="BNP19" s="936"/>
      <c r="BNQ19" s="936"/>
      <c r="BNR19" s="936"/>
      <c r="BNS19" s="936"/>
      <c r="BNT19" s="936"/>
      <c r="BNU19" s="936"/>
      <c r="BNV19" s="936"/>
      <c r="BNW19" s="936"/>
      <c r="BNX19" s="936"/>
      <c r="BNY19" s="936"/>
      <c r="BNZ19" s="936"/>
      <c r="BOA19" s="936"/>
      <c r="BOB19" s="936"/>
      <c r="BOC19" s="936"/>
      <c r="BOD19" s="936"/>
      <c r="BOE19" s="936"/>
      <c r="BOF19" s="936"/>
      <c r="BOG19" s="936"/>
      <c r="BOH19" s="936"/>
      <c r="BOI19" s="936"/>
      <c r="BOJ19" s="936"/>
      <c r="BOK19" s="936"/>
      <c r="BOL19" s="936"/>
      <c r="BOM19" s="936"/>
      <c r="BON19" s="936"/>
      <c r="BOO19" s="936"/>
      <c r="BOP19" s="936"/>
      <c r="BOQ19" s="936"/>
      <c r="BOR19" s="936"/>
      <c r="BOS19" s="936"/>
      <c r="BOT19" s="936"/>
      <c r="BOU19" s="936"/>
      <c r="BOV19" s="936"/>
      <c r="BOW19" s="936"/>
      <c r="BOX19" s="936"/>
      <c r="BOY19" s="936"/>
      <c r="BOZ19" s="936"/>
      <c r="BPA19" s="936"/>
      <c r="BPB19" s="936"/>
      <c r="BPC19" s="936"/>
      <c r="BPD19" s="936"/>
      <c r="BPE19" s="936"/>
      <c r="BPF19" s="936"/>
      <c r="BPG19" s="936"/>
      <c r="BPH19" s="936"/>
      <c r="BPI19" s="936"/>
      <c r="BPJ19" s="936"/>
      <c r="BPK19" s="936"/>
      <c r="BPL19" s="936"/>
      <c r="BPM19" s="936"/>
      <c r="BPN19" s="936"/>
      <c r="BPO19" s="936"/>
      <c r="BPP19" s="936"/>
      <c r="BPQ19" s="936"/>
      <c r="BPR19" s="936"/>
      <c r="BPS19" s="936"/>
      <c r="BPT19" s="936"/>
      <c r="BPU19" s="936"/>
      <c r="BPV19" s="936"/>
      <c r="BPW19" s="936"/>
      <c r="BPX19" s="936"/>
      <c r="BPY19" s="936"/>
      <c r="BPZ19" s="936"/>
      <c r="BQA19" s="936"/>
      <c r="BQB19" s="936"/>
      <c r="BQC19" s="936"/>
      <c r="BQD19" s="936"/>
      <c r="BQE19" s="936"/>
      <c r="BQF19" s="936"/>
      <c r="BQG19" s="936"/>
      <c r="BQH19" s="936"/>
      <c r="BQI19" s="936"/>
      <c r="BQJ19" s="936"/>
      <c r="BQK19" s="936"/>
      <c r="BQL19" s="936"/>
      <c r="BQM19" s="936"/>
      <c r="BQN19" s="936"/>
      <c r="BQO19" s="936"/>
      <c r="BQP19" s="936"/>
      <c r="BQQ19" s="936"/>
      <c r="BQR19" s="936"/>
      <c r="BQS19" s="936"/>
      <c r="BQT19" s="936"/>
      <c r="BQU19" s="936"/>
      <c r="BQV19" s="936"/>
      <c r="BQW19" s="936"/>
      <c r="BQX19" s="936"/>
      <c r="BQY19" s="936"/>
      <c r="BQZ19" s="936"/>
      <c r="BRA19" s="936"/>
      <c r="BRB19" s="936"/>
      <c r="BRC19" s="936"/>
      <c r="BRD19" s="936"/>
      <c r="BRE19" s="936"/>
      <c r="BRF19" s="936"/>
      <c r="BRG19" s="936"/>
      <c r="BRH19" s="936"/>
      <c r="BRI19" s="936"/>
      <c r="BRJ19" s="936"/>
      <c r="BRK19" s="936"/>
      <c r="BRL19" s="936"/>
      <c r="BRM19" s="936"/>
      <c r="BRN19" s="936"/>
      <c r="BRO19" s="936"/>
      <c r="BRP19" s="936"/>
      <c r="BRQ19" s="936"/>
      <c r="BRR19" s="936"/>
      <c r="BRS19" s="936"/>
      <c r="BRT19" s="936"/>
      <c r="BRU19" s="936"/>
      <c r="BRV19" s="936"/>
      <c r="BRW19" s="936"/>
      <c r="BRX19" s="936"/>
      <c r="BRY19" s="936"/>
      <c r="BRZ19" s="936"/>
      <c r="BSA19" s="936"/>
      <c r="BSB19" s="936"/>
      <c r="BSC19" s="936"/>
      <c r="BSD19" s="936"/>
      <c r="BSE19" s="936"/>
      <c r="BSF19" s="936"/>
      <c r="BSG19" s="936"/>
      <c r="BSH19" s="936"/>
      <c r="BSI19" s="936"/>
      <c r="BSJ19" s="936"/>
      <c r="BSK19" s="936"/>
      <c r="BSL19" s="936"/>
      <c r="BSM19" s="936"/>
      <c r="BSN19" s="936"/>
      <c r="BSO19" s="936"/>
      <c r="BSP19" s="936"/>
      <c r="BSQ19" s="936"/>
      <c r="BSR19" s="936"/>
      <c r="BSS19" s="936"/>
      <c r="BST19" s="936"/>
      <c r="BSU19" s="936"/>
      <c r="BSV19" s="936"/>
      <c r="BSW19" s="936"/>
      <c r="BSX19" s="936"/>
      <c r="BSY19" s="936"/>
      <c r="BSZ19" s="936"/>
      <c r="BTA19" s="936"/>
      <c r="BTB19" s="936"/>
      <c r="BTC19" s="936"/>
      <c r="BTD19" s="936"/>
      <c r="BTE19" s="936"/>
      <c r="BTF19" s="936"/>
      <c r="BTG19" s="936"/>
      <c r="BTH19" s="936"/>
      <c r="BTI19" s="936"/>
    </row>
    <row r="20" spans="1:1881" ht="89.25" customHeight="1" thickBot="1" x14ac:dyDescent="0.35">
      <c r="A20" s="108">
        <v>335</v>
      </c>
      <c r="B20" s="455" t="s">
        <v>56</v>
      </c>
      <c r="C20" s="497" t="s">
        <v>129</v>
      </c>
      <c r="D20" s="549" t="s">
        <v>849</v>
      </c>
      <c r="E20" s="531" t="e">
        <f>HLOOKUP($D$2,'2020 Data(H)'!$C$1:$CZ$426,101,FALSE)</f>
        <v>#N/A</v>
      </c>
      <c r="F20" s="281">
        <v>0</v>
      </c>
      <c r="G20" s="571">
        <f>IF(F20&lt;0,"Error: Enter as positive.",)</f>
        <v>0</v>
      </c>
      <c r="H20" s="17"/>
      <c r="I20" s="357"/>
      <c r="J20" s="437"/>
      <c r="L20" s="545"/>
      <c r="Q20" s="281">
        <v>0</v>
      </c>
      <c r="Z20" s="108"/>
      <c r="AA20" s="108"/>
      <c r="AB20" s="108"/>
      <c r="AC20" s="108"/>
      <c r="AD20" s="108"/>
      <c r="AE20" s="108"/>
      <c r="AF20" s="108"/>
      <c r="AG20" s="108"/>
      <c r="AH20" s="108"/>
      <c r="AI20" s="108"/>
      <c r="AJ20" s="108"/>
      <c r="AK20" s="108"/>
      <c r="AL20" s="108"/>
      <c r="AM20" s="108"/>
      <c r="AN20" s="108"/>
      <c r="AO20" s="108"/>
      <c r="AP20" s="108"/>
      <c r="AQ20" s="108"/>
      <c r="AR20" s="108"/>
    </row>
    <row r="21" spans="1:1881" ht="48.75" customHeight="1" thickBot="1" x14ac:dyDescent="0.35">
      <c r="A21" s="108">
        <v>252</v>
      </c>
      <c r="B21" s="455" t="s">
        <v>56</v>
      </c>
      <c r="C21" s="497" t="s">
        <v>129</v>
      </c>
      <c r="D21" s="107" t="s">
        <v>132</v>
      </c>
      <c r="E21" s="531" t="e">
        <f>HLOOKUP($D$2,'2020 Data(H)'!$C$1:$CZ$426,78,FALSE)</f>
        <v>#N/A</v>
      </c>
      <c r="F21" s="281">
        <v>0</v>
      </c>
      <c r="G21" s="577"/>
      <c r="H21" s="17"/>
      <c r="I21" s="79"/>
      <c r="J21" s="437"/>
      <c r="L21" s="545"/>
      <c r="Q21" s="281">
        <v>1656465</v>
      </c>
      <c r="Z21" s="108"/>
      <c r="AA21" s="108"/>
      <c r="AB21" s="108"/>
      <c r="AC21" s="108"/>
      <c r="AD21" s="108"/>
      <c r="AE21" s="108"/>
      <c r="AF21" s="108"/>
      <c r="AG21" s="108"/>
      <c r="AH21" s="108"/>
      <c r="AI21" s="108"/>
      <c r="AJ21" s="108"/>
      <c r="AK21" s="108"/>
      <c r="AL21" s="108"/>
      <c r="AM21" s="108"/>
      <c r="AN21" s="108"/>
      <c r="AO21" s="108"/>
      <c r="AP21" s="108"/>
      <c r="AQ21" s="108"/>
      <c r="AR21" s="108"/>
    </row>
    <row r="22" spans="1:1881" ht="43.8" thickBot="1" x14ac:dyDescent="0.35">
      <c r="A22" s="108">
        <v>253</v>
      </c>
      <c r="B22" s="455" t="s">
        <v>56</v>
      </c>
      <c r="C22" s="497" t="s">
        <v>129</v>
      </c>
      <c r="D22" s="107" t="s">
        <v>133</v>
      </c>
      <c r="E22" s="531" t="e">
        <f>HLOOKUP($D$2,'2020 Data(H)'!$C$1:$CZ$426,79,FALSE)</f>
        <v>#N/A</v>
      </c>
      <c r="F22" s="281">
        <v>0</v>
      </c>
      <c r="G22" s="571"/>
      <c r="H22" s="17"/>
      <c r="I22" s="79"/>
      <c r="J22" s="437"/>
      <c r="L22" s="545"/>
      <c r="Q22" s="281">
        <v>172269</v>
      </c>
      <c r="Z22" s="108"/>
      <c r="AA22" s="108"/>
      <c r="AB22" s="108"/>
      <c r="AC22" s="108"/>
      <c r="AD22" s="108"/>
      <c r="AE22" s="108"/>
      <c r="AF22" s="108"/>
      <c r="AG22" s="108"/>
      <c r="AH22" s="108"/>
      <c r="AI22" s="108"/>
      <c r="AJ22" s="108"/>
      <c r="AK22" s="108"/>
      <c r="AL22" s="108"/>
      <c r="AM22" s="108"/>
      <c r="AN22" s="108"/>
      <c r="AO22" s="108"/>
      <c r="AP22" s="108"/>
      <c r="AQ22" s="108"/>
      <c r="AR22" s="108"/>
    </row>
    <row r="23" spans="1:1881" ht="73.5" customHeight="1" thickBot="1" x14ac:dyDescent="0.35">
      <c r="A23" s="108">
        <v>254</v>
      </c>
      <c r="B23" s="455" t="s">
        <v>56</v>
      </c>
      <c r="C23" s="497" t="s">
        <v>129</v>
      </c>
      <c r="D23" s="107" t="s">
        <v>850</v>
      </c>
      <c r="E23" s="531" t="e">
        <f>HLOOKUP($D$2,'2020 Data(H)'!$C$1:$CZ$426,80,FALSE)</f>
        <v>#N/A</v>
      </c>
      <c r="F23" s="281">
        <v>0</v>
      </c>
      <c r="G23" s="571">
        <f>IF(H23=0,,"Error: Total assets and deferred outflows less total liabilities and deferred inflows do not equal total net position. Account numbers  385-338-252-253-254 = 0.  The amount the formula is off is located in the cell to the right")</f>
        <v>0</v>
      </c>
      <c r="H23" s="574">
        <f>F9-F19-F21-F22-F23</f>
        <v>0</v>
      </c>
      <c r="I23" s="79"/>
      <c r="J23" s="437"/>
      <c r="L23" s="545"/>
      <c r="Q23" s="281">
        <v>1605749</v>
      </c>
      <c r="Z23" s="108"/>
      <c r="AA23" s="108"/>
      <c r="AB23" s="108"/>
      <c r="AC23" s="108"/>
      <c r="AD23" s="108"/>
      <c r="AE23" s="108"/>
      <c r="AF23" s="108"/>
      <c r="AG23" s="108"/>
      <c r="AH23" s="108"/>
      <c r="AI23" s="108"/>
      <c r="AJ23" s="108"/>
      <c r="AK23" s="108"/>
      <c r="AL23" s="108"/>
      <c r="AM23" s="108"/>
      <c r="AN23" s="108"/>
      <c r="AO23" s="108"/>
      <c r="AP23" s="108"/>
      <c r="AQ23" s="108"/>
      <c r="AR23" s="108"/>
    </row>
    <row r="24" spans="1:1881" ht="21.75" customHeight="1" thickBot="1" x14ac:dyDescent="0.35">
      <c r="A24" s="108"/>
      <c r="B24" s="682" t="s">
        <v>134</v>
      </c>
      <c r="C24" s="683"/>
      <c r="D24" s="687"/>
      <c r="E24" s="688"/>
      <c r="F24" s="699"/>
      <c r="G24" s="700"/>
      <c r="H24" s="17"/>
      <c r="I24" s="79"/>
      <c r="L24" s="545"/>
      <c r="Z24" s="108"/>
      <c r="AA24" s="108"/>
      <c r="AB24" s="108"/>
      <c r="AC24" s="108"/>
      <c r="AD24" s="108"/>
      <c r="AE24" s="108"/>
      <c r="AF24" s="108"/>
      <c r="AG24" s="108"/>
      <c r="AH24" s="108"/>
      <c r="AI24" s="108"/>
      <c r="AJ24" s="108"/>
      <c r="AK24" s="108"/>
      <c r="AL24" s="108"/>
      <c r="AM24" s="108"/>
      <c r="AN24" s="108"/>
      <c r="AO24" s="108"/>
      <c r="AP24" s="108"/>
      <c r="AQ24" s="108"/>
      <c r="AR24" s="108"/>
    </row>
    <row r="25" spans="1:1881" ht="59.25" customHeight="1" thickBot="1" x14ac:dyDescent="0.35">
      <c r="A25" s="108">
        <v>502</v>
      </c>
      <c r="B25" s="455" t="s">
        <v>55</v>
      </c>
      <c r="C25" s="497" t="s">
        <v>136</v>
      </c>
      <c r="D25" s="549" t="s">
        <v>851</v>
      </c>
      <c r="E25" s="531" t="e">
        <f>HLOOKUP($D$2,'2020 Data(H)'!$C$1:$CZ$426,152,FALSE)</f>
        <v>#N/A</v>
      </c>
      <c r="F25" s="281">
        <v>0</v>
      </c>
      <c r="G25" s="571">
        <f>IF(F25&lt;0,"Note: Number is normally positive.",)</f>
        <v>0</v>
      </c>
      <c r="H25" s="17"/>
      <c r="I25" s="79"/>
      <c r="L25" s="545"/>
      <c r="Z25" s="108"/>
      <c r="AA25" s="108"/>
      <c r="AB25" s="108"/>
      <c r="AC25" s="108"/>
      <c r="AD25" s="108"/>
      <c r="AE25" s="108"/>
      <c r="AF25" s="108"/>
      <c r="AG25" s="108"/>
      <c r="AH25" s="108"/>
      <c r="AI25" s="108"/>
      <c r="AJ25" s="108"/>
      <c r="AK25" s="108"/>
      <c r="AL25" s="108"/>
      <c r="AM25" s="108"/>
      <c r="AN25" s="108"/>
      <c r="AO25" s="108"/>
      <c r="AP25" s="108"/>
      <c r="AQ25" s="108"/>
      <c r="AR25" s="108"/>
    </row>
    <row r="26" spans="1:1881" ht="59.25" customHeight="1" thickBot="1" x14ac:dyDescent="0.35">
      <c r="A26" s="108">
        <v>503</v>
      </c>
      <c r="B26" s="455" t="s">
        <v>55</v>
      </c>
      <c r="C26" s="497" t="s">
        <v>136</v>
      </c>
      <c r="D26" s="107" t="s">
        <v>135</v>
      </c>
      <c r="E26" s="531" t="e">
        <f>HLOOKUP($D$2,'2020 Data(H)'!$C$1:$CZ$426,153,FALSE)</f>
        <v>#N/A</v>
      </c>
      <c r="F26" s="271">
        <v>0</v>
      </c>
      <c r="G26" s="571">
        <f>IF(F26&lt;0,"Note: Number is normally positive.",)</f>
        <v>0</v>
      </c>
      <c r="H26" s="17"/>
      <c r="I26" s="79"/>
      <c r="L26" s="545"/>
      <c r="Z26" s="108"/>
      <c r="AA26" s="108"/>
      <c r="AB26" s="108"/>
      <c r="AC26" s="108"/>
      <c r="AD26" s="108"/>
      <c r="AE26" s="108"/>
      <c r="AF26" s="108"/>
      <c r="AG26" s="108"/>
      <c r="AH26" s="108"/>
      <c r="AI26" s="108"/>
      <c r="AJ26" s="108"/>
      <c r="AK26" s="108"/>
      <c r="AL26" s="108"/>
      <c r="AM26" s="108"/>
      <c r="AN26" s="108"/>
      <c r="AO26" s="108"/>
      <c r="AP26" s="108"/>
      <c r="AQ26" s="108"/>
      <c r="AR26" s="108"/>
    </row>
    <row r="27" spans="1:1881" ht="27" customHeight="1" thickBot="1" x14ac:dyDescent="0.35">
      <c r="A27" s="108"/>
      <c r="B27" s="682" t="s">
        <v>137</v>
      </c>
      <c r="C27" s="683"/>
      <c r="D27" s="687"/>
      <c r="E27" s="688"/>
      <c r="F27" s="689"/>
      <c r="G27" s="690"/>
      <c r="H27" s="17"/>
      <c r="I27" s="79"/>
      <c r="L27" s="545"/>
      <c r="Z27" s="108"/>
      <c r="AA27" s="108"/>
      <c r="AB27" s="108"/>
      <c r="AC27" s="108"/>
      <c r="AD27" s="108"/>
      <c r="AE27" s="108"/>
      <c r="AF27" s="108"/>
      <c r="AG27" s="108"/>
      <c r="AH27" s="108"/>
      <c r="AI27" s="108"/>
      <c r="AJ27" s="108"/>
      <c r="AK27" s="108"/>
      <c r="AL27" s="108"/>
      <c r="AM27" s="108"/>
      <c r="AN27" s="108"/>
      <c r="AO27" s="108"/>
      <c r="AP27" s="108"/>
      <c r="AQ27" s="108"/>
      <c r="AR27" s="108"/>
    </row>
    <row r="28" spans="1:1881" ht="49.5" hidden="1" customHeight="1" thickBot="1" x14ac:dyDescent="0.35">
      <c r="A28" s="108">
        <v>344</v>
      </c>
      <c r="B28" s="455" t="s">
        <v>56</v>
      </c>
      <c r="C28" s="455" t="s">
        <v>144</v>
      </c>
      <c r="D28" s="107" t="s">
        <v>138</v>
      </c>
      <c r="E28" s="531" t="e">
        <f>HLOOKUP($D$2,'2020 Data(H)'!$C$1:$CZ$426,110,FALSE)</f>
        <v>#N/A</v>
      </c>
      <c r="F28" s="281">
        <v>0</v>
      </c>
      <c r="G28" s="571">
        <f t="shared" ref="G28:G35" si="0">IF(F28&lt;0,"Error: Enter as positive.",)</f>
        <v>0</v>
      </c>
      <c r="H28" s="17"/>
      <c r="I28" s="79"/>
      <c r="L28" s="545"/>
      <c r="Z28" s="108"/>
      <c r="AA28" s="108"/>
      <c r="AB28" s="108"/>
      <c r="AC28" s="108"/>
      <c r="AD28" s="108"/>
      <c r="AE28" s="108"/>
      <c r="AF28" s="108"/>
      <c r="AG28" s="108"/>
      <c r="AH28" s="108"/>
      <c r="AI28" s="108"/>
      <c r="AJ28" s="108"/>
      <c r="AK28" s="108"/>
      <c r="AL28" s="108"/>
      <c r="AM28" s="108"/>
      <c r="AN28" s="108"/>
      <c r="AO28" s="108"/>
      <c r="AP28" s="108"/>
      <c r="AQ28" s="108"/>
      <c r="AR28" s="108"/>
    </row>
    <row r="29" spans="1:1881" ht="49.5" customHeight="1" thickBot="1" x14ac:dyDescent="0.35">
      <c r="A29" s="108">
        <v>388</v>
      </c>
      <c r="B29" s="455" t="s">
        <v>60</v>
      </c>
      <c r="C29" s="455" t="s">
        <v>144</v>
      </c>
      <c r="D29" s="107" t="s">
        <v>139</v>
      </c>
      <c r="E29" s="531" t="e">
        <f>HLOOKUP($D$2,'2020 Data(H)'!$C$1:$CZ$426,147,FALSE)</f>
        <v>#N/A</v>
      </c>
      <c r="F29" s="281">
        <v>0</v>
      </c>
      <c r="G29" s="571">
        <f t="shared" si="0"/>
        <v>0</v>
      </c>
      <c r="H29" s="17"/>
      <c r="I29" s="79"/>
      <c r="J29" s="437"/>
      <c r="L29" s="545"/>
      <c r="Z29" s="108"/>
      <c r="AA29" s="108"/>
      <c r="AB29" s="108"/>
      <c r="AC29" s="108"/>
      <c r="AD29" s="108"/>
      <c r="AE29" s="108"/>
      <c r="AF29" s="108"/>
      <c r="AG29" s="108"/>
      <c r="AH29" s="108"/>
      <c r="AI29" s="108"/>
      <c r="AJ29" s="108"/>
      <c r="AK29" s="108"/>
      <c r="AL29" s="108"/>
      <c r="AM29" s="108"/>
      <c r="AN29" s="108"/>
      <c r="AO29" s="108"/>
      <c r="AP29" s="108"/>
      <c r="AQ29" s="108"/>
      <c r="AR29" s="108"/>
    </row>
    <row r="30" spans="1:1881" ht="51.75" customHeight="1" thickBot="1" x14ac:dyDescent="0.35">
      <c r="A30" s="108">
        <v>339</v>
      </c>
      <c r="B30" s="455" t="s">
        <v>56</v>
      </c>
      <c r="C30" s="455" t="s">
        <v>144</v>
      </c>
      <c r="D30" s="107" t="s">
        <v>140</v>
      </c>
      <c r="E30" s="531" t="e">
        <f>HLOOKUP($D$2,'2020 Data(H)'!$C$1:$CZ$426,105,FALSE)</f>
        <v>#N/A</v>
      </c>
      <c r="F30" s="281">
        <v>0</v>
      </c>
      <c r="G30" s="571">
        <f t="shared" si="0"/>
        <v>0</v>
      </c>
      <c r="H30" s="17"/>
      <c r="I30" s="79"/>
      <c r="J30" s="437"/>
      <c r="L30" s="545"/>
      <c r="Z30" s="108"/>
      <c r="AA30" s="108"/>
      <c r="AB30" s="108"/>
      <c r="AC30" s="108"/>
      <c r="AD30" s="108"/>
      <c r="AE30" s="108"/>
      <c r="AF30" s="108"/>
      <c r="AG30" s="108"/>
      <c r="AH30" s="108"/>
      <c r="AI30" s="108"/>
      <c r="AJ30" s="108"/>
      <c r="AK30" s="108"/>
      <c r="AL30" s="108"/>
      <c r="AM30" s="108"/>
      <c r="AN30" s="108"/>
      <c r="AO30" s="108"/>
      <c r="AP30" s="108"/>
      <c r="AQ30" s="108"/>
      <c r="AR30" s="108"/>
    </row>
    <row r="31" spans="1:1881" ht="50.25" customHeight="1" thickBot="1" x14ac:dyDescent="0.35">
      <c r="A31" s="108">
        <v>504</v>
      </c>
      <c r="B31" s="455" t="s">
        <v>56</v>
      </c>
      <c r="C31" s="455" t="s">
        <v>144</v>
      </c>
      <c r="D31" s="107" t="s">
        <v>141</v>
      </c>
      <c r="E31" s="531" t="e">
        <f>HLOOKUP($D$2,'2020 Data(H)'!$C$1:$CZ$426,154,FALSE)</f>
        <v>#N/A</v>
      </c>
      <c r="F31" s="281">
        <v>0</v>
      </c>
      <c r="G31" s="571">
        <f t="shared" si="0"/>
        <v>0</v>
      </c>
      <c r="H31" s="17"/>
      <c r="I31" s="79"/>
      <c r="J31" s="437"/>
      <c r="L31" s="545"/>
      <c r="Z31" s="108"/>
      <c r="AA31" s="108"/>
      <c r="AB31" s="108"/>
      <c r="AC31" s="108"/>
      <c r="AD31" s="108"/>
      <c r="AE31" s="108"/>
      <c r="AF31" s="108"/>
      <c r="AG31" s="108"/>
      <c r="AH31" s="108"/>
      <c r="AI31" s="108"/>
      <c r="AJ31" s="108"/>
      <c r="AK31" s="108"/>
      <c r="AL31" s="108"/>
      <c r="AM31" s="108"/>
      <c r="AN31" s="108"/>
      <c r="AO31" s="108"/>
      <c r="AP31" s="108"/>
      <c r="AQ31" s="108"/>
      <c r="AR31" s="108"/>
    </row>
    <row r="32" spans="1:1881" ht="60" customHeight="1" thickBot="1" x14ac:dyDescent="0.35">
      <c r="A32" s="108">
        <v>505</v>
      </c>
      <c r="B32" s="455" t="s">
        <v>56</v>
      </c>
      <c r="C32" s="455" t="s">
        <v>144</v>
      </c>
      <c r="D32" s="540" t="s">
        <v>142</v>
      </c>
      <c r="E32" s="531" t="e">
        <f>HLOOKUP($D$2,'2020 Data(H)'!$C$1:$CZ$426,155,FALSE)</f>
        <v>#N/A</v>
      </c>
      <c r="F32" s="281">
        <v>0</v>
      </c>
      <c r="G32" s="571">
        <f t="shared" si="0"/>
        <v>0</v>
      </c>
      <c r="H32" s="17"/>
      <c r="I32" s="79"/>
      <c r="J32" s="437"/>
      <c r="L32" s="545"/>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455" t="s">
        <v>56</v>
      </c>
      <c r="C33" s="455" t="s">
        <v>144</v>
      </c>
      <c r="D33" s="549" t="s">
        <v>852</v>
      </c>
      <c r="E33" s="531" t="e">
        <f>HLOOKUP($D$2,'2020 Data(H)'!$C$1:$CZ$426,107,FALSE)</f>
        <v>#N/A</v>
      </c>
      <c r="F33" s="281">
        <v>0</v>
      </c>
      <c r="G33" s="571">
        <f t="shared" si="0"/>
        <v>0</v>
      </c>
      <c r="H33" s="17"/>
      <c r="I33" s="79"/>
      <c r="J33" s="437"/>
      <c r="L33" s="545"/>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455" t="s">
        <v>56</v>
      </c>
      <c r="C34" s="455" t="s">
        <v>144</v>
      </c>
      <c r="D34" s="107" t="s">
        <v>853</v>
      </c>
      <c r="E34" s="531" t="e">
        <f>HLOOKUP($D$2,'2020 Data(H)'!$C$1:$CZ$426,145,FALSE)</f>
        <v>#N/A</v>
      </c>
      <c r="F34" s="281">
        <v>0</v>
      </c>
      <c r="G34" s="571">
        <f t="shared" si="0"/>
        <v>0</v>
      </c>
      <c r="H34" s="17"/>
      <c r="I34" s="79"/>
      <c r="L34" s="545"/>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455" t="s">
        <v>60</v>
      </c>
      <c r="C35" s="455" t="s">
        <v>144</v>
      </c>
      <c r="D35" s="107" t="s">
        <v>854</v>
      </c>
      <c r="E35" s="531" t="e">
        <f>HLOOKUP($D$2,'2020 Data(H)'!$C$1:$CZ$426,146,FALSE)</f>
        <v>#N/A</v>
      </c>
      <c r="F35" s="281">
        <v>0</v>
      </c>
      <c r="G35" s="571">
        <f t="shared" si="0"/>
        <v>0</v>
      </c>
      <c r="H35" s="17"/>
      <c r="I35" s="79"/>
      <c r="L35" s="545"/>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455" t="s">
        <v>60</v>
      </c>
      <c r="C36" s="455" t="s">
        <v>144</v>
      </c>
      <c r="D36" s="549" t="s">
        <v>855</v>
      </c>
      <c r="E36" s="531" t="e">
        <f>HLOOKUP($D$2,'2020 Data(H)'!$C$1:$CZ$426,148,FALSE)</f>
        <v>#N/A</v>
      </c>
      <c r="F36" s="281">
        <v>0</v>
      </c>
      <c r="G36" s="571"/>
      <c r="H36" s="17"/>
      <c r="I36" s="79"/>
      <c r="J36" s="437"/>
      <c r="L36" s="545"/>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455" t="s">
        <v>56</v>
      </c>
      <c r="C37" s="455" t="s">
        <v>144</v>
      </c>
      <c r="D37" s="549" t="s">
        <v>856</v>
      </c>
      <c r="E37" s="531" t="e">
        <f>HLOOKUP($D$2,'2020 Data(H)'!$C$1:$CZ$426,81,FALSE)</f>
        <v>#N/A</v>
      </c>
      <c r="F37" s="281">
        <v>0</v>
      </c>
      <c r="G37" s="571">
        <f>IF(H37=0,,"Error: Total revenues less total expenses do not equal total change in net position. Account numbers 339+504+505+341+386-387+389-388-255 = 0  The amount the formula is off is located in the cell to the right")</f>
        <v>0</v>
      </c>
      <c r="H37" s="574">
        <f>F30+F31+F32+F33+F34-F35+F36-F29-F37</f>
        <v>0</v>
      </c>
      <c r="I37" s="79"/>
      <c r="J37" s="437"/>
      <c r="L37" s="545"/>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455" t="s">
        <v>56</v>
      </c>
      <c r="C38" s="455" t="s">
        <v>144</v>
      </c>
      <c r="D38" s="549" t="s">
        <v>857</v>
      </c>
      <c r="E38" s="531" t="e">
        <f>HLOOKUP($D$2,'2020 Data(H)'!$C$1:$CZ$426,135,FALSE)</f>
        <v>#N/A</v>
      </c>
      <c r="F38" s="279">
        <v>0</v>
      </c>
      <c r="G38" s="749" t="e">
        <f>IF(H38=0,,"Error: Beginning Balance does not agree with our records.  Account numbers  252+253+254-255-376-(Prior Year 252+253+254)=0  The amount the formula is off is located in the cell to the right")</f>
        <v>#N/A</v>
      </c>
      <c r="H38" s="578" t="e">
        <f>F21+F22+F23-F37-F38-(E21+E22+E23)</f>
        <v>#N/A</v>
      </c>
      <c r="I38" s="1061" t="s">
        <v>1200</v>
      </c>
      <c r="J38" s="437"/>
      <c r="L38" s="545"/>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497" t="s">
        <v>362</v>
      </c>
      <c r="C39" s="497" t="s">
        <v>397</v>
      </c>
      <c r="D39" s="653" t="s">
        <v>858</v>
      </c>
      <c r="E39" s="531" t="e">
        <f>HLOOKUP($D$2,'2020 Data(H)'!$C$1:$CZ$426,256,FALSE)</f>
        <v>#N/A</v>
      </c>
      <c r="F39" s="279">
        <v>0</v>
      </c>
      <c r="G39" s="571">
        <f>IF(F39&lt;0,"Note: Number is normally positive.",)</f>
        <v>0</v>
      </c>
      <c r="H39" s="572"/>
      <c r="I39" s="573"/>
      <c r="J39" s="437"/>
      <c r="L39" s="545"/>
      <c r="N39" s="282"/>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682" t="s">
        <v>361</v>
      </c>
      <c r="C40" s="683"/>
      <c r="D40" s="687"/>
      <c r="E40" s="688"/>
      <c r="F40" s="689"/>
      <c r="G40" s="690"/>
      <c r="H40" s="17"/>
      <c r="I40" s="79"/>
      <c r="L40" s="545"/>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497" t="s">
        <v>59</v>
      </c>
      <c r="C41" s="497" t="s">
        <v>363</v>
      </c>
      <c r="D41" s="549" t="s">
        <v>859</v>
      </c>
      <c r="E41" s="531" t="e">
        <f>HLOOKUP($D$2,'2020 Data(H)'!$C$1:$CZ$426,253,FALSE)</f>
        <v>#N/A</v>
      </c>
      <c r="F41" s="579">
        <v>0</v>
      </c>
      <c r="G41" s="571"/>
      <c r="H41" s="572"/>
      <c r="J41" s="437"/>
      <c r="L41" s="545"/>
      <c r="N41" s="282"/>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497" t="s">
        <v>59</v>
      </c>
      <c r="C42" s="497" t="s">
        <v>363</v>
      </c>
      <c r="D42" s="107" t="s">
        <v>364</v>
      </c>
      <c r="E42" s="531" t="e">
        <f>HLOOKUP($D$2,'2020 Data(H)'!$C$1:$CZ$426,252,FALSE)</f>
        <v>#N/A</v>
      </c>
      <c r="F42" s="579">
        <v>0</v>
      </c>
      <c r="G42" s="571">
        <f>IF(F42&lt;0,"Error: Enter as positive.",)</f>
        <v>0</v>
      </c>
      <c r="H42" s="572"/>
      <c r="J42" s="437"/>
      <c r="L42" s="545"/>
      <c r="N42" s="282"/>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497" t="s">
        <v>59</v>
      </c>
      <c r="C43" s="654" t="s">
        <v>363</v>
      </c>
      <c r="D43" s="107" t="s">
        <v>802</v>
      </c>
      <c r="E43" s="531" t="s">
        <v>960</v>
      </c>
      <c r="F43" s="579">
        <v>0</v>
      </c>
      <c r="G43" s="571"/>
      <c r="H43" s="572"/>
      <c r="J43" s="437"/>
      <c r="L43" s="545"/>
      <c r="N43" s="282"/>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497" t="s">
        <v>59</v>
      </c>
      <c r="C44" s="654" t="s">
        <v>363</v>
      </c>
      <c r="D44" s="107" t="s">
        <v>803</v>
      </c>
      <c r="E44" s="531" t="s">
        <v>960</v>
      </c>
      <c r="F44" s="579">
        <v>0</v>
      </c>
      <c r="G44" s="571"/>
      <c r="H44" s="572"/>
      <c r="J44" s="437"/>
      <c r="L44" s="545"/>
      <c r="N44" s="282"/>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682" t="s">
        <v>964</v>
      </c>
      <c r="C45" s="738"/>
      <c r="D45" s="739"/>
      <c r="E45" s="715"/>
      <c r="F45" s="689"/>
      <c r="G45" s="700"/>
      <c r="H45" s="572"/>
      <c r="J45" s="437"/>
      <c r="L45" s="545"/>
      <c r="N45" s="282"/>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497" t="s">
        <v>59</v>
      </c>
      <c r="C46" s="654" t="s">
        <v>804</v>
      </c>
      <c r="D46" s="107" t="s">
        <v>809</v>
      </c>
      <c r="E46" s="531" t="e">
        <f>HLOOKUP($D$2,'2020 Data(H)'!$C$1:$CZ$426,208,FALSE)</f>
        <v>#N/A</v>
      </c>
      <c r="F46" s="579">
        <v>0</v>
      </c>
      <c r="G46" s="571"/>
      <c r="H46" s="572"/>
      <c r="J46" s="437"/>
      <c r="L46" s="545"/>
      <c r="N46" s="282"/>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497" t="s">
        <v>59</v>
      </c>
      <c r="C47" s="654" t="s">
        <v>804</v>
      </c>
      <c r="D47" s="107" t="s">
        <v>146</v>
      </c>
      <c r="E47" s="531" t="e">
        <f>HLOOKUP($D$2,'2020 Data(H)'!$C$1:$CZ$426,209,FALSE)</f>
        <v>#N/A</v>
      </c>
      <c r="F47" s="579">
        <v>0</v>
      </c>
      <c r="G47" s="571"/>
      <c r="H47" s="572"/>
      <c r="J47" s="437"/>
      <c r="L47" s="545"/>
      <c r="N47" s="282"/>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497" t="s">
        <v>59</v>
      </c>
      <c r="C48" s="654" t="s">
        <v>804</v>
      </c>
      <c r="D48" s="549" t="s">
        <v>806</v>
      </c>
      <c r="E48" s="531" t="e">
        <f>HLOOKUP($D$2,'2020 Data(H)'!$C$1:$CZ$426,210,FALSE)</f>
        <v>#N/A</v>
      </c>
      <c r="F48" s="579">
        <v>0</v>
      </c>
      <c r="G48" s="571"/>
      <c r="H48" s="572"/>
      <c r="J48" s="437"/>
      <c r="L48" s="545"/>
      <c r="N48" s="282"/>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497" t="s">
        <v>59</v>
      </c>
      <c r="C49" s="654" t="s">
        <v>804</v>
      </c>
      <c r="D49" s="549" t="s">
        <v>807</v>
      </c>
      <c r="E49" s="531" t="e">
        <f>HLOOKUP($D$2,'2020 Data(H)'!$C$1:$CZ$426,211,FALSE)</f>
        <v>#N/A</v>
      </c>
      <c r="F49" s="579">
        <v>0</v>
      </c>
      <c r="G49" s="571"/>
      <c r="H49" s="572"/>
      <c r="J49" s="437"/>
      <c r="L49" s="545"/>
      <c r="N49" s="282"/>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497" t="s">
        <v>59</v>
      </c>
      <c r="C50" s="654" t="s">
        <v>804</v>
      </c>
      <c r="D50" s="549" t="s">
        <v>805</v>
      </c>
      <c r="E50" s="531" t="e">
        <f>HLOOKUP($D$2,'2020 Data(H)'!$C$1:$CZ$426,213,FALSE)</f>
        <v>#N/A</v>
      </c>
      <c r="F50" s="579">
        <v>0</v>
      </c>
      <c r="G50" s="571"/>
      <c r="H50" s="572"/>
      <c r="J50" s="437"/>
      <c r="L50" s="545"/>
      <c r="N50" s="282"/>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497" t="s">
        <v>59</v>
      </c>
      <c r="C51" s="654" t="s">
        <v>811</v>
      </c>
      <c r="D51" s="549" t="s">
        <v>808</v>
      </c>
      <c r="E51" s="531" t="e">
        <f>HLOOKUP($D$2,'2020 Data(H)'!$C$1:$CZ$426,214,FALSE)</f>
        <v>#N/A</v>
      </c>
      <c r="F51" s="579">
        <v>0</v>
      </c>
      <c r="G51" s="571"/>
      <c r="H51" s="572"/>
      <c r="J51" s="437"/>
      <c r="L51" s="545"/>
      <c r="N51" s="282"/>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497" t="s">
        <v>59</v>
      </c>
      <c r="C52" s="654" t="s">
        <v>811</v>
      </c>
      <c r="D52" s="549" t="s">
        <v>810</v>
      </c>
      <c r="E52" s="531" t="e">
        <f>HLOOKUP($D$2,'2020 Data(H)'!$C$1:$CZ$426,218,FALSE)</f>
        <v>#N/A</v>
      </c>
      <c r="F52" s="579">
        <v>0</v>
      </c>
      <c r="G52" s="571"/>
      <c r="H52" s="572"/>
      <c r="J52" s="437"/>
      <c r="L52" s="545"/>
      <c r="N52" s="282"/>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497" t="s">
        <v>59</v>
      </c>
      <c r="C53" s="654" t="s">
        <v>811</v>
      </c>
      <c r="D53" s="549" t="s">
        <v>321</v>
      </c>
      <c r="E53" s="531" t="e">
        <f>HLOOKUP($D$2,'2020 Data(H)'!$C$1:$CZ$426,215,FALSE)</f>
        <v>#N/A</v>
      </c>
      <c r="F53" s="579">
        <v>0</v>
      </c>
      <c r="G53" s="571"/>
      <c r="H53" s="572"/>
      <c r="J53" s="437"/>
      <c r="L53" s="545"/>
      <c r="N53" s="282"/>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497" t="s">
        <v>59</v>
      </c>
      <c r="C54" s="654" t="s">
        <v>811</v>
      </c>
      <c r="D54" s="549" t="s">
        <v>323</v>
      </c>
      <c r="E54" s="531" t="e">
        <f>HLOOKUP($D$2,'2020 Data(H)'!$C$1:$CZ$426,216,FALSE)</f>
        <v>#N/A</v>
      </c>
      <c r="F54" s="579">
        <v>0</v>
      </c>
      <c r="G54" s="571"/>
      <c r="H54" s="572"/>
      <c r="J54" s="437"/>
      <c r="L54" s="545"/>
      <c r="N54" s="282"/>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497" t="s">
        <v>59</v>
      </c>
      <c r="C55" s="654" t="s">
        <v>811</v>
      </c>
      <c r="D55" s="549" t="s">
        <v>803</v>
      </c>
      <c r="E55" s="531" t="e">
        <f>HLOOKUP($D$2,'2020 Data(H)'!$C$1:$CZ$426,217,FALSE)</f>
        <v>#N/A</v>
      </c>
      <c r="F55" s="579">
        <v>0</v>
      </c>
      <c r="G55" s="571"/>
      <c r="H55" s="572"/>
      <c r="J55" s="437"/>
      <c r="L55" s="545"/>
      <c r="N55" s="282"/>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497" t="s">
        <v>59</v>
      </c>
      <c r="C56" s="654" t="s">
        <v>13</v>
      </c>
      <c r="D56" s="124" t="s">
        <v>812</v>
      </c>
      <c r="E56" s="531" t="e">
        <f>HLOOKUP($D$2,'2020 Data(H)'!$C$1:$CZ$426,212,FALSE)</f>
        <v>#N/A</v>
      </c>
      <c r="F56" s="579">
        <v>0</v>
      </c>
      <c r="G56" s="571"/>
      <c r="H56" s="572"/>
      <c r="J56" s="437"/>
      <c r="L56" s="545"/>
      <c r="N56" s="282"/>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497" t="s">
        <v>59</v>
      </c>
      <c r="C57" s="654" t="s">
        <v>13</v>
      </c>
      <c r="D57" s="549" t="s">
        <v>813</v>
      </c>
      <c r="E57" s="531" t="e">
        <f>HLOOKUP($D$2,'2020 Data(H)'!$C$1:$CZ$426,219,FALSE)</f>
        <v>#N/A</v>
      </c>
      <c r="F57" s="579">
        <v>0</v>
      </c>
      <c r="G57" s="571"/>
      <c r="H57" s="572"/>
      <c r="J57" s="437"/>
      <c r="L57" s="545"/>
      <c r="N57" s="282"/>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682" t="s">
        <v>145</v>
      </c>
      <c r="C58" s="683"/>
      <c r="D58" s="691"/>
      <c r="E58" s="688"/>
      <c r="F58" s="692"/>
      <c r="G58" s="693"/>
      <c r="H58" s="17"/>
      <c r="I58" s="79"/>
      <c r="L58" s="545"/>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655" t="s">
        <v>55</v>
      </c>
      <c r="C59" s="655" t="s">
        <v>149</v>
      </c>
      <c r="D59" s="107" t="s">
        <v>860</v>
      </c>
      <c r="E59" s="752" t="e">
        <f>HLOOKUP($D$2,'2020 Data(H)'!$C$1:$CZ$426,156,FALSE)</f>
        <v>#N/A</v>
      </c>
      <c r="F59" s="281">
        <v>0</v>
      </c>
      <c r="G59" s="571">
        <f>IF(F59&lt;0,"Note: Number is normally positive.",)</f>
        <v>0</v>
      </c>
      <c r="H59" s="572"/>
      <c r="I59" s="79"/>
      <c r="J59" s="437"/>
      <c r="L59" s="545"/>
      <c r="N59" s="282"/>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655" t="s">
        <v>55</v>
      </c>
      <c r="C60" s="655" t="s">
        <v>149</v>
      </c>
      <c r="D60" s="107" t="s">
        <v>146</v>
      </c>
      <c r="E60" s="531" t="e">
        <f>HLOOKUP($D$2,'2020 Data(H)'!$C$1:$CZ$426,186,FALSE)</f>
        <v>#N/A</v>
      </c>
      <c r="F60" s="281">
        <v>0</v>
      </c>
      <c r="G60" s="571">
        <f>IF(F60&lt;0,"Note: Number is normally positive.",)</f>
        <v>0</v>
      </c>
      <c r="H60" s="572"/>
      <c r="I60" s="573"/>
      <c r="J60" s="437"/>
      <c r="L60" s="545"/>
      <c r="N60" s="282"/>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655" t="s">
        <v>59</v>
      </c>
      <c r="C61" s="655" t="s">
        <v>149</v>
      </c>
      <c r="D61" s="539" t="s">
        <v>347</v>
      </c>
      <c r="E61" s="531" t="e">
        <f>HLOOKUP($D$2,'2020 Data(H)'!$C$1:$CZ$426,236,FALSE)</f>
        <v>#N/A</v>
      </c>
      <c r="F61" s="281">
        <v>0</v>
      </c>
      <c r="G61" s="571">
        <f>IF(F61&lt;0,"Note: Number is normally positive.",)</f>
        <v>0</v>
      </c>
      <c r="H61" s="572"/>
      <c r="I61" s="573"/>
      <c r="L61" s="545"/>
      <c r="N61" s="282"/>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655" t="s">
        <v>60</v>
      </c>
      <c r="C62" s="655" t="s">
        <v>149</v>
      </c>
      <c r="D62" s="107" t="s">
        <v>130</v>
      </c>
      <c r="E62" s="531" t="e">
        <f>HLOOKUP($D$2,'2020 Data(H)'!$C$1:$CZ$426,138,FALSE)</f>
        <v>#N/A</v>
      </c>
      <c r="F62" s="281">
        <v>0</v>
      </c>
      <c r="G62" s="571">
        <f>IF((F59+F60)&gt;F62,"Error: Please review account numbers (506+536)&gt;379",)</f>
        <v>0</v>
      </c>
      <c r="H62" s="17"/>
      <c r="I62" s="79"/>
      <c r="J62" s="437"/>
      <c r="L62" s="545"/>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08">
        <v>368</v>
      </c>
      <c r="B63" s="655" t="s">
        <v>69</v>
      </c>
      <c r="C63" s="655" t="s">
        <v>149</v>
      </c>
      <c r="D63" s="549" t="s">
        <v>861</v>
      </c>
      <c r="E63" s="531" t="e">
        <f>HLOOKUP($D$2,'2020 Data(H)'!$C$1:$CZ$426,129,FALSE)</f>
        <v>#N/A</v>
      </c>
      <c r="F63" s="281">
        <v>0</v>
      </c>
      <c r="G63" s="571">
        <f t="shared" ref="G63:G69" si="1">IF(F63&lt;0,"Error: Enter as positive.",)</f>
        <v>0</v>
      </c>
      <c r="H63" s="17"/>
      <c r="I63" s="572"/>
      <c r="J63" s="437"/>
      <c r="L63" s="545"/>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655" t="s">
        <v>55</v>
      </c>
      <c r="C64" s="655" t="s">
        <v>149</v>
      </c>
      <c r="D64" s="290" t="s">
        <v>862</v>
      </c>
      <c r="E64" s="531" t="e">
        <f>HLOOKUP($D$2,'2020 Data(H)'!$C$1:$CZ$426,3,FALSE)</f>
        <v>#N/A</v>
      </c>
      <c r="F64" s="281">
        <v>0</v>
      </c>
      <c r="G64" s="571">
        <f t="shared" si="1"/>
        <v>0</v>
      </c>
      <c r="H64" s="17"/>
      <c r="I64" s="79"/>
      <c r="J64" s="437"/>
      <c r="L64" s="545"/>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655" t="s">
        <v>55</v>
      </c>
      <c r="C65" s="655" t="s">
        <v>149</v>
      </c>
      <c r="D65" s="319" t="s">
        <v>863</v>
      </c>
      <c r="E65" s="531" t="e">
        <f>HLOOKUP($D$2,'2020 Data(H)'!$C$1:$CZ$426,4,FALSE)</f>
        <v>#N/A</v>
      </c>
      <c r="F65" s="281">
        <v>0</v>
      </c>
      <c r="G65" s="571">
        <f t="shared" si="1"/>
        <v>0</v>
      </c>
      <c r="H65" s="17"/>
      <c r="I65" s="79"/>
      <c r="J65" s="437"/>
      <c r="L65" s="545"/>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655" t="s">
        <v>60</v>
      </c>
      <c r="C66" s="655" t="s">
        <v>149</v>
      </c>
      <c r="D66" s="319" t="s">
        <v>864</v>
      </c>
      <c r="E66" s="531" t="e">
        <f>HLOOKUP($D$2,'2020 Data(H)'!$C$1:$CZ$426,139,FALSE)</f>
        <v>#N/A</v>
      </c>
      <c r="F66" s="281">
        <v>0</v>
      </c>
      <c r="G66" s="571">
        <f t="shared" si="1"/>
        <v>0</v>
      </c>
      <c r="H66" s="17"/>
      <c r="I66" s="79"/>
      <c r="J66" s="437"/>
      <c r="L66" s="545"/>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655" t="s">
        <v>69</v>
      </c>
      <c r="C67" s="655" t="s">
        <v>149</v>
      </c>
      <c r="D67" s="107" t="s">
        <v>147</v>
      </c>
      <c r="E67" s="531" t="e">
        <f>HLOOKUP($D$2,'2020 Data(H)'!$C$1:$CZ$426,149,FALSE)</f>
        <v>#N/A</v>
      </c>
      <c r="F67" s="281">
        <v>0</v>
      </c>
      <c r="G67" s="571">
        <f t="shared" si="1"/>
        <v>0</v>
      </c>
      <c r="H67" s="17"/>
      <c r="I67" s="79"/>
      <c r="J67" s="437"/>
      <c r="L67" s="545"/>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655" t="s">
        <v>69</v>
      </c>
      <c r="C68" s="655" t="s">
        <v>149</v>
      </c>
      <c r="D68" s="107" t="s">
        <v>148</v>
      </c>
      <c r="E68" s="531" t="e">
        <f>HLOOKUP($D$2,'2020 Data(H)'!$C$1:$CZ$426,6,FALSE)</f>
        <v>#N/A</v>
      </c>
      <c r="F68" s="281">
        <v>0</v>
      </c>
      <c r="G68" s="571">
        <f t="shared" si="1"/>
        <v>0</v>
      </c>
      <c r="H68" s="17"/>
      <c r="I68" s="79"/>
      <c r="J68" s="437"/>
      <c r="L68" s="545"/>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655" t="s">
        <v>69</v>
      </c>
      <c r="C69" s="655" t="s">
        <v>149</v>
      </c>
      <c r="D69" s="549" t="s">
        <v>865</v>
      </c>
      <c r="E69" s="531" t="e">
        <f>HLOOKUP($D$2,'2020 Data(H)'!$C$1:$CZ$426,8,FALSE)</f>
        <v>#N/A</v>
      </c>
      <c r="F69" s="281">
        <v>0</v>
      </c>
      <c r="G69" s="571">
        <f t="shared" si="1"/>
        <v>0</v>
      </c>
      <c r="H69" s="17"/>
      <c r="I69" s="79"/>
      <c r="J69" s="437"/>
      <c r="L69" s="545"/>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291">
        <v>645</v>
      </c>
      <c r="B70" s="652" t="s">
        <v>439</v>
      </c>
      <c r="C70" s="652" t="s">
        <v>149</v>
      </c>
      <c r="D70" s="544" t="s">
        <v>468</v>
      </c>
      <c r="E70" s="531" t="e">
        <f>HLOOKUP($D$2,'2020 Data(H)'!$C$1:$CZ$426,304,FALSE)</f>
        <v>#N/A</v>
      </c>
      <c r="F70" s="281">
        <v>0</v>
      </c>
      <c r="G70" s="571">
        <f>IF(F70&lt;0,"Note: Number is normally positive.",)</f>
        <v>0</v>
      </c>
      <c r="H70" s="572"/>
      <c r="I70" s="573"/>
      <c r="J70" s="437"/>
      <c r="L70" s="545"/>
      <c r="Z70" s="291"/>
      <c r="AA70" s="291"/>
      <c r="AB70" s="291"/>
      <c r="AC70" s="291"/>
      <c r="AD70" s="291"/>
      <c r="AE70" s="291"/>
      <c r="AF70" s="291"/>
      <c r="AG70" s="291"/>
      <c r="AH70" s="291"/>
      <c r="AI70" s="291"/>
      <c r="AJ70" s="291"/>
      <c r="AK70" s="291"/>
      <c r="AL70" s="291"/>
      <c r="AM70" s="291"/>
      <c r="AN70" s="291"/>
      <c r="AO70" s="291"/>
      <c r="AP70" s="291"/>
      <c r="AQ70" s="291"/>
      <c r="AR70" s="291"/>
    </row>
    <row r="71" spans="1:44" ht="78.75" customHeight="1" thickBot="1" x14ac:dyDescent="0.35">
      <c r="A71" s="291">
        <v>646</v>
      </c>
      <c r="B71" s="652" t="s">
        <v>439</v>
      </c>
      <c r="C71" s="652" t="s">
        <v>149</v>
      </c>
      <c r="D71" s="290" t="s">
        <v>440</v>
      </c>
      <c r="E71" s="531" t="e">
        <f>HLOOKUP($D$2,'2020 Data(H)'!$C$1:$CZ$426,305,FALSE)</f>
        <v>#N/A</v>
      </c>
      <c r="F71" s="281">
        <v>0</v>
      </c>
      <c r="G71" s="571">
        <f>IF(F71&lt;0,"Note: Number is normally positive.",)</f>
        <v>0</v>
      </c>
      <c r="H71" s="572"/>
      <c r="I71" s="573"/>
      <c r="J71" s="437"/>
      <c r="L71" s="545"/>
      <c r="Z71" s="291"/>
      <c r="AA71" s="291"/>
      <c r="AB71" s="291"/>
      <c r="AC71" s="291"/>
      <c r="AD71" s="291"/>
      <c r="AE71" s="291"/>
      <c r="AF71" s="291"/>
      <c r="AG71" s="291"/>
      <c r="AH71" s="291"/>
      <c r="AI71" s="291"/>
      <c r="AJ71" s="291"/>
      <c r="AK71" s="291"/>
      <c r="AL71" s="291"/>
      <c r="AM71" s="291"/>
      <c r="AN71" s="291"/>
      <c r="AO71" s="291"/>
      <c r="AP71" s="291"/>
      <c r="AQ71" s="291"/>
      <c r="AR71" s="291"/>
    </row>
    <row r="72" spans="1:44" ht="57.75" customHeight="1" thickBot="1" x14ac:dyDescent="0.35">
      <c r="A72" s="108">
        <v>9</v>
      </c>
      <c r="B72" s="655" t="s">
        <v>60</v>
      </c>
      <c r="C72" s="655" t="s">
        <v>149</v>
      </c>
      <c r="D72" s="549" t="s">
        <v>866</v>
      </c>
      <c r="E72" s="531" t="e">
        <f>HLOOKUP($D$2,'2020 Data(H)'!$C$1:$CZ$426,7,FALSE)</f>
        <v>#N/A</v>
      </c>
      <c r="F72" s="281">
        <v>0</v>
      </c>
      <c r="G72" s="571">
        <f>IF(F62-F64-F65-F66-F72=0,,"Error: Total assets less total liabilities do not equal total fund balance. Account numbers 379-4-5-380-9= 0  The amount of the formula is in the cell to the right")</f>
        <v>0</v>
      </c>
      <c r="H72" s="574">
        <f>F62-F64-F65-F66-F72</f>
        <v>0</v>
      </c>
      <c r="I72" s="79"/>
      <c r="J72" s="437"/>
      <c r="L72" s="545"/>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08">
        <v>540</v>
      </c>
      <c r="B73" s="497" t="s">
        <v>59</v>
      </c>
      <c r="C73" s="497" t="s">
        <v>867</v>
      </c>
      <c r="D73" s="107" t="s">
        <v>469</v>
      </c>
      <c r="E73" s="531" t="e">
        <f>HLOOKUP($D$2,'2020 Data(H)'!$C$1:$CZ$426,190,FALSE)</f>
        <v>#N/A</v>
      </c>
      <c r="F73" s="281">
        <v>0</v>
      </c>
      <c r="G73" s="571"/>
      <c r="H73" s="572"/>
      <c r="I73" s="573"/>
      <c r="J73" s="437"/>
      <c r="L73" s="545"/>
      <c r="N73" s="282"/>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682" t="s">
        <v>151</v>
      </c>
      <c r="C74" s="683"/>
      <c r="D74" s="687"/>
      <c r="E74" s="688"/>
      <c r="F74" s="689"/>
      <c r="G74" s="690"/>
      <c r="H74" s="17"/>
      <c r="I74" s="79"/>
      <c r="L74" s="545"/>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555" t="s">
        <v>608</v>
      </c>
      <c r="C75" s="555" t="s">
        <v>867</v>
      </c>
      <c r="D75" s="580" t="s">
        <v>961</v>
      </c>
      <c r="E75" s="531" t="s">
        <v>609</v>
      </c>
      <c r="F75" s="281">
        <v>0</v>
      </c>
      <c r="G75" s="571"/>
      <c r="H75" s="17"/>
      <c r="I75" s="79"/>
      <c r="J75" s="437"/>
      <c r="L75" s="545"/>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555" t="s">
        <v>608</v>
      </c>
      <c r="C76" s="555" t="s">
        <v>867</v>
      </c>
      <c r="D76" s="580" t="s">
        <v>962</v>
      </c>
      <c r="E76" s="531" t="s">
        <v>609</v>
      </c>
      <c r="F76" s="281">
        <v>0</v>
      </c>
      <c r="G76" s="571"/>
      <c r="H76" s="17"/>
      <c r="I76" s="79"/>
      <c r="J76" s="437"/>
      <c r="L76" s="545"/>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08">
        <v>369</v>
      </c>
      <c r="B77" s="455" t="s">
        <v>56</v>
      </c>
      <c r="C77" s="455" t="s">
        <v>152</v>
      </c>
      <c r="D77" s="549" t="s">
        <v>868</v>
      </c>
      <c r="E77" s="531" t="e">
        <f>HLOOKUP($D$2,'2020 Data(H)'!$C$1:$CZ$426,130,FALSE)</f>
        <v>#N/A</v>
      </c>
      <c r="F77" s="281">
        <v>0</v>
      </c>
      <c r="G77" s="571"/>
      <c r="H77" s="17"/>
      <c r="I77" s="79"/>
      <c r="J77" s="437"/>
      <c r="L77" s="545"/>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455" t="s">
        <v>66</v>
      </c>
      <c r="C78" s="455" t="s">
        <v>152</v>
      </c>
      <c r="D78" s="107" t="s">
        <v>150</v>
      </c>
      <c r="E78" s="531" t="e">
        <f>HLOOKUP($D$2,'2020 Data(H)'!$C$1:$CZ$426,12,FALSE)</f>
        <v>#N/A</v>
      </c>
      <c r="F78" s="281">
        <v>0</v>
      </c>
      <c r="G78" s="571"/>
      <c r="H78" s="17"/>
      <c r="I78" s="79"/>
      <c r="J78" s="437"/>
      <c r="L78" s="545"/>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08">
        <v>370</v>
      </c>
      <c r="B79" s="455" t="s">
        <v>56</v>
      </c>
      <c r="C79" s="455" t="s">
        <v>152</v>
      </c>
      <c r="D79" s="549" t="s">
        <v>869</v>
      </c>
      <c r="E79" s="531" t="e">
        <f>HLOOKUP($D$2,'2020 Data(H)'!$C$1:$CZ$426,131,FALSE)</f>
        <v>#N/A</v>
      </c>
      <c r="F79" s="281">
        <v>0</v>
      </c>
      <c r="G79" s="571">
        <f>IF(F79&lt;0,"Error: Enter as positive.",)</f>
        <v>0</v>
      </c>
      <c r="H79" s="17"/>
      <c r="I79" s="79"/>
      <c r="J79" s="437"/>
      <c r="L79" s="545"/>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455" t="s">
        <v>55</v>
      </c>
      <c r="C80" s="455" t="s">
        <v>152</v>
      </c>
      <c r="D80" s="542" t="s">
        <v>870</v>
      </c>
      <c r="E80" s="531" t="e">
        <f>HLOOKUP($D$2,'2020 Data(H)'!$C$1:$CZ$426,182,FALSE)</f>
        <v>#N/A</v>
      </c>
      <c r="F80" s="281">
        <v>0</v>
      </c>
      <c r="G80" s="571">
        <f>IF(F80&lt;0,"Error: Enter as positive.",)</f>
        <v>0</v>
      </c>
      <c r="H80" s="17"/>
      <c r="I80" s="79"/>
      <c r="J80" s="437"/>
      <c r="L80" s="545"/>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455" t="s">
        <v>60</v>
      </c>
      <c r="C81" s="455" t="s">
        <v>152</v>
      </c>
      <c r="D81" s="107" t="s">
        <v>871</v>
      </c>
      <c r="E81" s="531" t="e">
        <f>HLOOKUP($D$2,'2020 Data(H)'!$C$1:$CZ$426,13,FALSE)</f>
        <v>#N/A</v>
      </c>
      <c r="F81" s="281">
        <v>0</v>
      </c>
      <c r="G81" s="571"/>
      <c r="H81" s="17"/>
      <c r="I81" s="79"/>
      <c r="L81" s="545"/>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455" t="s">
        <v>55</v>
      </c>
      <c r="C82" s="455" t="s">
        <v>152</v>
      </c>
      <c r="D82" s="107" t="s">
        <v>872</v>
      </c>
      <c r="E82" s="531" t="e">
        <f>HLOOKUP($D$2,'2020 Data(H)'!$C$1:$CZ$426,15,FALSE)</f>
        <v>#N/A</v>
      </c>
      <c r="F82" s="281">
        <v>0</v>
      </c>
      <c r="G82" s="571">
        <f>IF(F82&lt;0,"Error: Enter as positive.",)</f>
        <v>0</v>
      </c>
      <c r="H82" s="17"/>
      <c r="I82" s="79"/>
      <c r="L82" s="545"/>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455" t="s">
        <v>55</v>
      </c>
      <c r="C83" s="455" t="s">
        <v>152</v>
      </c>
      <c r="D83" s="542" t="s">
        <v>873</v>
      </c>
      <c r="E83" s="531" t="e">
        <f>HLOOKUP($D$2,'2020 Data(H)'!$C$1:$CZ$426,183,FALSE)</f>
        <v>#N/A</v>
      </c>
      <c r="F83" s="281">
        <v>0</v>
      </c>
      <c r="G83" s="581"/>
      <c r="H83" s="17"/>
      <c r="I83" s="79"/>
      <c r="L83" s="545"/>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hidden="1" customHeight="1" thickBot="1" x14ac:dyDescent="0.35">
      <c r="A84" s="108">
        <v>508</v>
      </c>
      <c r="B84" s="455" t="s">
        <v>55</v>
      </c>
      <c r="C84" s="455" t="s">
        <v>152</v>
      </c>
      <c r="D84" s="107" t="s">
        <v>323</v>
      </c>
      <c r="E84" s="531" t="e">
        <f>HLOOKUP($D$2,'2020 Data(H)'!$C$1:$CZ$426,158,FALSE)</f>
        <v>#N/A</v>
      </c>
      <c r="F84" s="281">
        <v>0</v>
      </c>
      <c r="G84" s="571"/>
      <c r="H84" s="572"/>
      <c r="I84" s="573"/>
      <c r="L84" s="545"/>
      <c r="N84" s="282"/>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hidden="1" customHeight="1" thickBot="1" x14ac:dyDescent="0.35">
      <c r="A85" s="108">
        <v>509</v>
      </c>
      <c r="B85" s="455" t="s">
        <v>55</v>
      </c>
      <c r="C85" s="455" t="s">
        <v>152</v>
      </c>
      <c r="D85" s="107" t="s">
        <v>321</v>
      </c>
      <c r="E85" s="531" t="e">
        <f>HLOOKUP($D$2,'2020 Data(H)'!$C$1:$CZ$426,159,FALSE)</f>
        <v>#N/A</v>
      </c>
      <c r="F85" s="281">
        <v>0</v>
      </c>
      <c r="G85" s="571">
        <f>IF(F85&lt;0,"Error: Enter as positive.",)</f>
        <v>0</v>
      </c>
      <c r="H85" s="572"/>
      <c r="I85" s="573"/>
      <c r="L85" s="545"/>
      <c r="N85" s="282"/>
      <c r="Z85" s="108"/>
      <c r="AA85" s="108"/>
      <c r="AB85" s="108"/>
      <c r="AC85" s="108"/>
      <c r="AD85" s="108"/>
      <c r="AE85" s="108"/>
      <c r="AF85" s="108"/>
      <c r="AG85" s="108"/>
      <c r="AH85" s="108"/>
      <c r="AI85" s="108"/>
      <c r="AJ85" s="108"/>
      <c r="AK85" s="108"/>
      <c r="AL85" s="108"/>
      <c r="AM85" s="108"/>
      <c r="AN85" s="108"/>
      <c r="AO85" s="108"/>
      <c r="AP85" s="108"/>
      <c r="AQ85" s="108"/>
      <c r="AR85" s="108"/>
    </row>
    <row r="86" spans="1:44" ht="69" hidden="1" customHeight="1" thickBot="1" x14ac:dyDescent="0.35">
      <c r="A86" s="108">
        <v>22</v>
      </c>
      <c r="B86" s="455" t="s">
        <v>60</v>
      </c>
      <c r="C86" s="455" t="s">
        <v>152</v>
      </c>
      <c r="D86" s="107" t="s">
        <v>322</v>
      </c>
      <c r="E86" s="531" t="e">
        <f>HLOOKUP($D$2,'2020 Data(H)'!$C$1:$CZ$426,17,FALSE)</f>
        <v>#N/A</v>
      </c>
      <c r="F86" s="281">
        <v>0</v>
      </c>
      <c r="G86" s="581"/>
      <c r="H86" s="17"/>
      <c r="I86" s="79"/>
      <c r="J86" s="437"/>
      <c r="L86" s="545"/>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455" t="s">
        <v>60</v>
      </c>
      <c r="C87" s="455" t="s">
        <v>152</v>
      </c>
      <c r="D87" s="549" t="s">
        <v>874</v>
      </c>
      <c r="E87" s="531" t="e">
        <f>HLOOKUP($D$2,'2020 Data(H)'!$C$1:$CZ$426,18,FALSE)</f>
        <v>#N/A</v>
      </c>
      <c r="F87" s="281">
        <v>0</v>
      </c>
      <c r="G87" s="571">
        <f>IF(H87=0,,"Error: Total revenues less total expenditures do not equal total change in fund balance.  Account numbers 16-532+17-20+533+22+508-509-23=0  The amount of the formula is located in the cell to the right")</f>
        <v>0</v>
      </c>
      <c r="H87" s="574">
        <f>+F78-F80+F81-F82+F83+F86+F84-F85-F87</f>
        <v>0</v>
      </c>
      <c r="I87" s="79"/>
      <c r="J87" s="437"/>
      <c r="L87" s="545"/>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08">
        <v>590</v>
      </c>
      <c r="B88" s="455" t="s">
        <v>359</v>
      </c>
      <c r="C88" s="455"/>
      <c r="D88" s="549" t="s">
        <v>983</v>
      </c>
      <c r="E88" s="748"/>
      <c r="F88" s="281"/>
      <c r="G88" s="281"/>
      <c r="H88" s="574"/>
      <c r="I88" s="79"/>
      <c r="K88" s="582"/>
      <c r="L88" s="545"/>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455" t="s">
        <v>60</v>
      </c>
      <c r="C89" s="455" t="s">
        <v>152</v>
      </c>
      <c r="D89" s="549" t="s">
        <v>875</v>
      </c>
      <c r="E89" s="531" t="e">
        <f>HLOOKUP($D$2,'2020 Data(H)'!$C$1:$CZ$426,157,FALSE)</f>
        <v>#N/A</v>
      </c>
      <c r="F89" s="281">
        <v>0</v>
      </c>
      <c r="G89" s="571" t="e">
        <f>IF(F72-F87-F89=E72,,"Error: Beginning Balance does not agree with our records.  (Acct# 9-23-507)= Prior Years Acct # 9 The amount of the formula is in the cell to the right")</f>
        <v>#N/A</v>
      </c>
      <c r="H89" s="574" t="e">
        <f>+F72-F87-F89-E72</f>
        <v>#N/A</v>
      </c>
      <c r="I89" s="1061" t="s">
        <v>1200</v>
      </c>
      <c r="L89" s="545"/>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656" t="s">
        <v>699</v>
      </c>
      <c r="C90" s="656" t="s">
        <v>700</v>
      </c>
      <c r="D90" s="549" t="s">
        <v>701</v>
      </c>
      <c r="E90" s="531" t="e">
        <f>HLOOKUP($D$2,'2020 Data(H)'!$C$1:$CZ$426,67,FALSE)</f>
        <v>#N/A</v>
      </c>
      <c r="F90" s="281">
        <v>0</v>
      </c>
      <c r="G90" s="571"/>
      <c r="H90" s="574"/>
      <c r="I90" s="79"/>
      <c r="L90" s="545"/>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656" t="s">
        <v>699</v>
      </c>
      <c r="C91" s="656" t="s">
        <v>700</v>
      </c>
      <c r="D91" s="549" t="s">
        <v>702</v>
      </c>
      <c r="E91" s="531" t="e">
        <f>HLOOKUP($D$2,'2020 Data(H)'!$C$1:$CZ$426,235,FALSE)</f>
        <v>#N/A</v>
      </c>
      <c r="F91" s="281">
        <v>0</v>
      </c>
      <c r="G91" s="571"/>
      <c r="H91" s="574"/>
      <c r="I91" s="79"/>
      <c r="L91" s="545"/>
      <c r="Z91" s="108"/>
      <c r="AA91" s="108"/>
      <c r="AB91" s="108"/>
      <c r="AC91" s="108"/>
      <c r="AD91" s="108"/>
      <c r="AE91" s="108"/>
      <c r="AF91" s="108"/>
      <c r="AG91" s="108"/>
      <c r="AH91" s="108"/>
      <c r="AI91" s="108"/>
      <c r="AJ91" s="108"/>
      <c r="AK91" s="108"/>
      <c r="AL91" s="108"/>
      <c r="AM91" s="108"/>
      <c r="AN91" s="108"/>
      <c r="AO91" s="108"/>
      <c r="AP91" s="108"/>
      <c r="AQ91" s="108"/>
      <c r="AR91" s="108"/>
    </row>
    <row r="92" spans="1:44" ht="115.5" customHeight="1" thickBot="1" x14ac:dyDescent="0.35">
      <c r="A92" s="108">
        <v>546</v>
      </c>
      <c r="B92" s="656" t="s">
        <v>699</v>
      </c>
      <c r="C92" s="656" t="s">
        <v>700</v>
      </c>
      <c r="D92" s="549" t="s">
        <v>703</v>
      </c>
      <c r="E92" s="531" t="e">
        <f>HLOOKUP($D$2,'2020 Data(H)'!$C$1:$CZ$426,196,FALSE)</f>
        <v>#N/A</v>
      </c>
      <c r="F92" s="281">
        <v>0</v>
      </c>
      <c r="G92" s="571"/>
      <c r="H92" s="574"/>
      <c r="I92" s="79"/>
      <c r="L92" s="545"/>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656" t="s">
        <v>699</v>
      </c>
      <c r="C93" s="656" t="s">
        <v>700</v>
      </c>
      <c r="D93" s="549" t="s">
        <v>704</v>
      </c>
      <c r="E93" s="531" t="e">
        <f>HLOOKUP($D$2,'2020 Data(H)'!$C$1:$CZ$426,359,FALSE)</f>
        <v>#N/A</v>
      </c>
      <c r="F93" s="281">
        <v>0</v>
      </c>
      <c r="G93" s="571"/>
      <c r="H93" s="574"/>
      <c r="I93" s="79"/>
      <c r="L93" s="545"/>
      <c r="Z93" s="108"/>
      <c r="AA93" s="108"/>
      <c r="AB93" s="108"/>
      <c r="AC93" s="108"/>
      <c r="AD93" s="108"/>
      <c r="AE93" s="108"/>
      <c r="AF93" s="108"/>
      <c r="AG93" s="108"/>
      <c r="AH93" s="108"/>
      <c r="AI93" s="108"/>
      <c r="AJ93" s="108"/>
      <c r="AK93" s="108"/>
      <c r="AL93" s="108"/>
      <c r="AM93" s="108"/>
      <c r="AN93" s="108"/>
      <c r="AO93" s="108"/>
      <c r="AP93" s="108"/>
      <c r="AQ93" s="108"/>
      <c r="AR93" s="108"/>
    </row>
    <row r="94" spans="1:44" ht="143.25" customHeight="1" thickBot="1" x14ac:dyDescent="0.35">
      <c r="A94" s="421">
        <v>149</v>
      </c>
      <c r="B94" s="455" t="s">
        <v>699</v>
      </c>
      <c r="C94" s="455" t="s">
        <v>700</v>
      </c>
      <c r="D94" s="549" t="s">
        <v>772</v>
      </c>
      <c r="E94" s="531" t="e">
        <f>HLOOKUP($D$2,'2020 Data(H)'!$C$1:$CZ$426,69,FALSE)</f>
        <v>#N/A</v>
      </c>
      <c r="F94" s="281">
        <v>0</v>
      </c>
      <c r="G94" s="571"/>
      <c r="H94" s="574"/>
      <c r="I94" s="79"/>
      <c r="L94" s="545"/>
      <c r="Z94" s="421"/>
      <c r="AA94" s="421"/>
      <c r="AB94" s="421"/>
      <c r="AC94" s="421"/>
      <c r="AD94" s="421"/>
      <c r="AE94" s="421"/>
      <c r="AF94" s="421"/>
      <c r="AG94" s="421"/>
      <c r="AH94" s="421"/>
      <c r="AI94" s="421"/>
      <c r="AJ94" s="421"/>
      <c r="AK94" s="421"/>
      <c r="AL94" s="421"/>
      <c r="AM94" s="421"/>
      <c r="AN94" s="421"/>
      <c r="AO94" s="421"/>
      <c r="AP94" s="421"/>
      <c r="AQ94" s="421"/>
      <c r="AR94" s="421"/>
    </row>
    <row r="95" spans="1:44" ht="115.5" customHeight="1" thickBot="1" x14ac:dyDescent="0.35">
      <c r="A95" s="108">
        <v>150</v>
      </c>
      <c r="B95" s="455" t="s">
        <v>699</v>
      </c>
      <c r="C95" s="455" t="s">
        <v>700</v>
      </c>
      <c r="D95" s="549" t="s">
        <v>773</v>
      </c>
      <c r="E95" s="531" t="e">
        <f>HLOOKUP($D$2,'2020 Data(H)'!$C$1:$CZ$426,70,FALSE)</f>
        <v>#N/A</v>
      </c>
      <c r="F95" s="281">
        <v>0</v>
      </c>
      <c r="G95" s="571"/>
      <c r="H95" s="574"/>
      <c r="I95" s="79"/>
      <c r="L95" s="545"/>
      <c r="Z95" s="108"/>
      <c r="AA95" s="108"/>
      <c r="AB95" s="108"/>
      <c r="AC95" s="108"/>
      <c r="AD95" s="108"/>
      <c r="AE95" s="108"/>
      <c r="AF95" s="108"/>
      <c r="AG95" s="108"/>
      <c r="AH95" s="108"/>
      <c r="AI95" s="108"/>
      <c r="AJ95" s="108"/>
      <c r="AK95" s="108"/>
      <c r="AL95" s="108"/>
      <c r="AM95" s="108"/>
      <c r="AN95" s="108"/>
      <c r="AO95" s="108"/>
      <c r="AP95" s="108"/>
      <c r="AQ95" s="108"/>
      <c r="AR95" s="108"/>
    </row>
    <row r="96" spans="1:44" ht="115.5" customHeight="1" thickBot="1" x14ac:dyDescent="0.35">
      <c r="A96" s="108">
        <v>587</v>
      </c>
      <c r="B96" s="497" t="s">
        <v>774</v>
      </c>
      <c r="C96" s="497" t="s">
        <v>775</v>
      </c>
      <c r="D96" s="549" t="s">
        <v>876</v>
      </c>
      <c r="E96" s="531" t="e">
        <f>HLOOKUP($D$2,'2020 Data(H)'!$C$1:$CZ$426,237,FALSE)</f>
        <v>#N/A</v>
      </c>
      <c r="F96" s="281">
        <v>0</v>
      </c>
      <c r="G96" s="571"/>
      <c r="H96" s="574"/>
      <c r="I96" s="79"/>
      <c r="L96" s="545"/>
      <c r="Z96" s="108"/>
      <c r="AA96" s="108"/>
      <c r="AB96" s="108"/>
      <c r="AC96" s="108"/>
      <c r="AD96" s="108"/>
      <c r="AE96" s="108"/>
      <c r="AF96" s="108"/>
      <c r="AG96" s="108"/>
      <c r="AH96" s="108"/>
      <c r="AI96" s="108"/>
      <c r="AJ96" s="108"/>
      <c r="AK96" s="108"/>
      <c r="AL96" s="108"/>
      <c r="AM96" s="108"/>
      <c r="AN96" s="108"/>
      <c r="AO96" s="108"/>
      <c r="AP96" s="108"/>
      <c r="AQ96" s="108"/>
      <c r="AR96" s="108"/>
    </row>
    <row r="97" spans="1:44" ht="115.5" customHeight="1" thickBot="1" x14ac:dyDescent="0.35">
      <c r="A97" s="108">
        <v>588</v>
      </c>
      <c r="B97" s="497" t="s">
        <v>774</v>
      </c>
      <c r="C97" s="497" t="s">
        <v>775</v>
      </c>
      <c r="D97" s="549" t="s">
        <v>877</v>
      </c>
      <c r="E97" s="531" t="e">
        <f>HLOOKUP($D$2,'2020 Data(H)'!$C$1:$CZ$426,238,FALSE)</f>
        <v>#N/A</v>
      </c>
      <c r="F97" s="281">
        <v>0</v>
      </c>
      <c r="G97" s="571"/>
      <c r="H97" s="574"/>
      <c r="I97" s="79"/>
      <c r="L97" s="545"/>
      <c r="Z97" s="108"/>
      <c r="AA97" s="108"/>
      <c r="AB97" s="108"/>
      <c r="AC97" s="108"/>
      <c r="AD97" s="108"/>
      <c r="AE97" s="108"/>
      <c r="AF97" s="108"/>
      <c r="AG97" s="108"/>
      <c r="AH97" s="108"/>
      <c r="AI97" s="108"/>
      <c r="AJ97" s="108"/>
      <c r="AK97" s="108"/>
      <c r="AL97" s="108"/>
      <c r="AM97" s="108"/>
      <c r="AN97" s="108"/>
      <c r="AO97" s="108"/>
      <c r="AP97" s="108"/>
      <c r="AQ97" s="108"/>
      <c r="AR97" s="108"/>
    </row>
    <row r="98" spans="1:44" ht="82.5" hidden="1" customHeight="1" thickBot="1" x14ac:dyDescent="0.35">
      <c r="A98" s="291">
        <v>647</v>
      </c>
      <c r="B98" s="652" t="s">
        <v>439</v>
      </c>
      <c r="C98" s="651" t="s">
        <v>441</v>
      </c>
      <c r="D98" s="290" t="s">
        <v>442</v>
      </c>
      <c r="E98" s="531" t="e">
        <f>HLOOKUP($D$2,'2020 Data(H)'!$C$1:$CZ$426,306,FALSE)</f>
        <v>#N/A</v>
      </c>
      <c r="F98" s="281">
        <v>0</v>
      </c>
      <c r="G98" s="571">
        <f>IF(F98&lt;0,"Error: Enter as positive.",)</f>
        <v>0</v>
      </c>
      <c r="H98" s="583"/>
      <c r="I98" s="79"/>
      <c r="L98" s="545"/>
      <c r="Z98" s="291"/>
      <c r="AA98" s="291"/>
      <c r="AB98" s="291"/>
      <c r="AC98" s="291"/>
      <c r="AD98" s="291"/>
      <c r="AE98" s="291"/>
      <c r="AF98" s="291"/>
      <c r="AG98" s="291"/>
      <c r="AH98" s="291"/>
      <c r="AI98" s="291"/>
      <c r="AJ98" s="291"/>
      <c r="AK98" s="291"/>
      <c r="AL98" s="291"/>
      <c r="AM98" s="291"/>
      <c r="AN98" s="291"/>
      <c r="AO98" s="291"/>
      <c r="AP98" s="291"/>
      <c r="AQ98" s="291"/>
      <c r="AR98" s="291"/>
    </row>
    <row r="99" spans="1:44" ht="25.5" hidden="1" customHeight="1" thickBot="1" x14ac:dyDescent="0.35">
      <c r="A99" s="108"/>
      <c r="B99" s="682" t="s">
        <v>11</v>
      </c>
      <c r="C99" s="683"/>
      <c r="D99" s="684"/>
      <c r="E99" s="680"/>
      <c r="F99" s="685"/>
      <c r="G99" s="686"/>
      <c r="H99" s="17"/>
      <c r="I99" s="79"/>
      <c r="L99" s="545"/>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455" t="s">
        <v>707</v>
      </c>
      <c r="C100" s="497" t="s">
        <v>705</v>
      </c>
      <c r="D100" s="497" t="s">
        <v>706</v>
      </c>
      <c r="E100" s="531" t="e">
        <f>HLOOKUP($D$2,'2020 Data(H)'!$C$1:$CZ$426,68,FALSE)</f>
        <v>#N/A</v>
      </c>
      <c r="F100" s="281">
        <v>0</v>
      </c>
      <c r="G100" s="584"/>
      <c r="H100" s="17"/>
      <c r="I100" s="79"/>
      <c r="L100" s="545"/>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08">
        <v>171</v>
      </c>
      <c r="B101" s="455" t="s">
        <v>326</v>
      </c>
      <c r="C101" s="455" t="s">
        <v>325</v>
      </c>
      <c r="D101" s="532" t="s">
        <v>878</v>
      </c>
      <c r="E101" s="531" t="e">
        <f>HLOOKUP($D$2,'2020 Data(H)'!$C$1:$CZ$426,71,FALSE)</f>
        <v>#N/A</v>
      </c>
      <c r="F101" s="271">
        <v>0</v>
      </c>
      <c r="G101" s="571">
        <f>IF(F101&lt;0,"Error: Enter as positive.",)</f>
        <v>0</v>
      </c>
      <c r="H101" s="17"/>
      <c r="I101" s="79"/>
      <c r="J101" s="437"/>
      <c r="L101" s="545"/>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681" t="s">
        <v>764</v>
      </c>
      <c r="C102" s="680"/>
      <c r="D102" s="680"/>
      <c r="E102" s="680"/>
      <c r="F102" s="680"/>
      <c r="G102" s="680"/>
      <c r="H102" s="17"/>
      <c r="I102" s="79"/>
      <c r="J102" s="437"/>
      <c r="L102" s="545"/>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657" t="s">
        <v>439</v>
      </c>
      <c r="C103" s="319" t="s">
        <v>778</v>
      </c>
      <c r="D103" s="530" t="s">
        <v>797</v>
      </c>
      <c r="E103" s="531" t="e">
        <f>HLOOKUP($D$2,'2020 Data(H)'!$C$1:$CZ$426,24,FALSE)</f>
        <v>#N/A</v>
      </c>
      <c r="F103" s="281">
        <v>0</v>
      </c>
      <c r="G103" s="658"/>
      <c r="H103" s="17"/>
      <c r="I103" s="79"/>
      <c r="J103" s="437"/>
      <c r="L103" s="545"/>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657" t="s">
        <v>439</v>
      </c>
      <c r="C104" s="319" t="s">
        <v>778</v>
      </c>
      <c r="D104" s="549" t="s">
        <v>798</v>
      </c>
      <c r="E104" s="531" t="e">
        <f>HLOOKUP($D$2,'2020 Data(H)'!$C$1:$CZ$426,184,FALSE)</f>
        <v>#N/A</v>
      </c>
      <c r="F104" s="281">
        <v>0</v>
      </c>
      <c r="G104" s="658"/>
      <c r="H104" s="17"/>
      <c r="I104" s="79"/>
      <c r="J104" s="437"/>
      <c r="L104" s="545"/>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462">
        <v>13</v>
      </c>
      <c r="B105" s="657" t="s">
        <v>359</v>
      </c>
      <c r="C105" s="660" t="s">
        <v>765</v>
      </c>
      <c r="D105" s="660" t="s">
        <v>963</v>
      </c>
      <c r="E105" s="531" t="e">
        <f>HLOOKUP($D$2,'2020 Data(H)'!$C$1:$CZ$426,10,FALSE)</f>
        <v>#N/A</v>
      </c>
      <c r="F105" s="281">
        <v>0</v>
      </c>
      <c r="G105" s="571"/>
      <c r="H105" s="17"/>
      <c r="I105" s="79"/>
      <c r="J105" s="437"/>
      <c r="L105" s="545"/>
      <c r="Z105" s="659"/>
      <c r="AA105" s="659"/>
      <c r="AB105" s="659"/>
      <c r="AC105" s="659"/>
      <c r="AD105" s="659"/>
      <c r="AE105" s="659"/>
      <c r="AF105" s="659"/>
      <c r="AG105" s="659"/>
      <c r="AH105" s="659"/>
      <c r="AI105" s="659"/>
      <c r="AJ105" s="659"/>
      <c r="AK105" s="659"/>
      <c r="AL105" s="659"/>
      <c r="AM105" s="659"/>
      <c r="AN105" s="659"/>
      <c r="AO105" s="659"/>
      <c r="AP105" s="659"/>
      <c r="AQ105" s="659"/>
      <c r="AR105" s="659"/>
    </row>
    <row r="106" spans="1:44" ht="191.25" hidden="1" customHeight="1" thickBot="1" x14ac:dyDescent="0.35">
      <c r="A106" s="462">
        <v>14</v>
      </c>
      <c r="B106" s="657" t="s">
        <v>359</v>
      </c>
      <c r="C106" s="660" t="s">
        <v>765</v>
      </c>
      <c r="D106" s="660" t="s">
        <v>767</v>
      </c>
      <c r="E106" s="531" t="e">
        <f>HLOOKUP($D$2,'2020 Data(H)'!$C$1:$CZ$426,11,FALSE)</f>
        <v>#N/A</v>
      </c>
      <c r="F106" s="281">
        <v>0</v>
      </c>
      <c r="G106" s="571"/>
      <c r="H106" s="17"/>
      <c r="I106" s="79"/>
      <c r="J106" s="437"/>
      <c r="L106" s="545"/>
      <c r="Z106" s="659"/>
      <c r="AA106" s="659"/>
      <c r="AB106" s="659"/>
      <c r="AC106" s="659"/>
      <c r="AD106" s="659"/>
      <c r="AE106" s="659"/>
      <c r="AF106" s="659"/>
      <c r="AG106" s="659"/>
      <c r="AH106" s="659"/>
      <c r="AI106" s="659"/>
      <c r="AJ106" s="659"/>
      <c r="AK106" s="659"/>
      <c r="AL106" s="659"/>
      <c r="AM106" s="659"/>
      <c r="AN106" s="659"/>
      <c r="AO106" s="659"/>
      <c r="AP106" s="659"/>
      <c r="AQ106" s="659"/>
      <c r="AR106" s="659"/>
    </row>
    <row r="107" spans="1:44" ht="129.75" hidden="1" customHeight="1" thickBot="1" x14ac:dyDescent="0.35">
      <c r="A107" s="462">
        <v>571</v>
      </c>
      <c r="B107" s="657" t="s">
        <v>359</v>
      </c>
      <c r="C107" s="661" t="s">
        <v>799</v>
      </c>
      <c r="D107" s="661" t="s">
        <v>800</v>
      </c>
      <c r="E107" s="531" t="e">
        <f>HLOOKUP($D$2,'2020 Data(H)'!$C$1:$CZ$426,221,FALSE)</f>
        <v>#N/A</v>
      </c>
      <c r="F107" s="281">
        <v>0</v>
      </c>
      <c r="G107" s="571"/>
      <c r="H107" s="17"/>
      <c r="I107" s="79"/>
      <c r="J107" s="437"/>
      <c r="L107" s="545"/>
      <c r="Z107" s="659"/>
      <c r="AA107" s="659"/>
      <c r="AB107" s="659"/>
      <c r="AC107" s="659"/>
      <c r="AD107" s="659"/>
      <c r="AE107" s="659"/>
      <c r="AF107" s="659"/>
      <c r="AG107" s="659"/>
      <c r="AH107" s="659"/>
      <c r="AI107" s="659"/>
      <c r="AJ107" s="659"/>
      <c r="AK107" s="659"/>
      <c r="AL107" s="659"/>
      <c r="AM107" s="659"/>
      <c r="AN107" s="659"/>
      <c r="AO107" s="659"/>
      <c r="AP107" s="659"/>
      <c r="AQ107" s="659"/>
      <c r="AR107" s="659"/>
    </row>
    <row r="108" spans="1:44" ht="128.25" hidden="1" customHeight="1" thickBot="1" x14ac:dyDescent="0.35">
      <c r="A108" s="462">
        <v>572</v>
      </c>
      <c r="B108" s="657" t="s">
        <v>59</v>
      </c>
      <c r="C108" s="661" t="s">
        <v>799</v>
      </c>
      <c r="D108" s="661" t="s">
        <v>801</v>
      </c>
      <c r="E108" s="531" t="e">
        <f>HLOOKUP($D$2,'2020 Data(H)'!$C$1:$CZ$426,222,FALSE)</f>
        <v>#N/A</v>
      </c>
      <c r="F108" s="281">
        <v>0</v>
      </c>
      <c r="G108" s="571"/>
      <c r="H108" s="17"/>
      <c r="I108" s="79"/>
      <c r="J108" s="437"/>
      <c r="L108" s="545"/>
      <c r="Z108" s="659"/>
      <c r="AA108" s="659"/>
      <c r="AB108" s="659"/>
      <c r="AC108" s="659"/>
      <c r="AD108" s="659"/>
      <c r="AE108" s="659"/>
      <c r="AF108" s="659"/>
      <c r="AG108" s="659"/>
      <c r="AH108" s="659"/>
      <c r="AI108" s="659"/>
      <c r="AJ108" s="659"/>
      <c r="AK108" s="659"/>
      <c r="AL108" s="659"/>
      <c r="AM108" s="659"/>
      <c r="AN108" s="659"/>
      <c r="AO108" s="659"/>
      <c r="AP108" s="659"/>
      <c r="AQ108" s="659"/>
      <c r="AR108" s="659"/>
    </row>
    <row r="109" spans="1:44" ht="120.75" hidden="1" customHeight="1" thickBot="1" x14ac:dyDescent="0.35">
      <c r="A109" s="462">
        <v>573</v>
      </c>
      <c r="B109" s="657" t="s">
        <v>359</v>
      </c>
      <c r="C109" s="661" t="s">
        <v>799</v>
      </c>
      <c r="D109" s="661" t="s">
        <v>958</v>
      </c>
      <c r="E109" s="531" t="e">
        <f>HLOOKUP($D$2,'2020 Data(H)'!$C$1:$CZ$426,223,FALSE)</f>
        <v>#N/A</v>
      </c>
      <c r="F109" s="281">
        <v>0</v>
      </c>
      <c r="G109" s="571"/>
      <c r="H109" s="17"/>
      <c r="I109" s="79"/>
      <c r="J109" s="437"/>
      <c r="L109" s="545"/>
      <c r="Z109" s="659"/>
      <c r="AA109" s="659"/>
      <c r="AB109" s="659"/>
      <c r="AC109" s="659"/>
      <c r="AD109" s="659"/>
      <c r="AE109" s="659"/>
      <c r="AF109" s="659"/>
      <c r="AG109" s="659"/>
      <c r="AH109" s="659"/>
      <c r="AI109" s="659"/>
      <c r="AJ109" s="659"/>
      <c r="AK109" s="659"/>
      <c r="AL109" s="659"/>
      <c r="AM109" s="659"/>
      <c r="AN109" s="659"/>
      <c r="AO109" s="659"/>
      <c r="AP109" s="659"/>
      <c r="AQ109" s="659"/>
      <c r="AR109" s="659"/>
    </row>
    <row r="110" spans="1:44" ht="99.75" hidden="1" customHeight="1" thickBot="1" x14ac:dyDescent="0.35">
      <c r="A110" s="462">
        <v>34</v>
      </c>
      <c r="B110" s="657" t="s">
        <v>359</v>
      </c>
      <c r="C110" s="4" t="s">
        <v>778</v>
      </c>
      <c r="D110" s="521" t="s">
        <v>954</v>
      </c>
      <c r="E110" s="531" t="e">
        <f>HLOOKUP($D$2,'2020 Data(H)'!$C$1:$CZ$426,22,FALSE)</f>
        <v>#N/A</v>
      </c>
      <c r="F110" s="281">
        <v>0</v>
      </c>
      <c r="G110" s="571"/>
      <c r="H110" s="17"/>
      <c r="I110" s="79"/>
      <c r="J110" s="437"/>
      <c r="L110" s="545"/>
      <c r="Z110" s="659"/>
      <c r="AA110" s="659"/>
      <c r="AB110" s="659"/>
      <c r="AC110" s="659"/>
      <c r="AD110" s="659"/>
      <c r="AE110" s="659"/>
      <c r="AF110" s="659"/>
      <c r="AG110" s="659"/>
      <c r="AH110" s="659"/>
      <c r="AI110" s="659"/>
      <c r="AJ110" s="659"/>
      <c r="AK110" s="659"/>
      <c r="AL110" s="659"/>
      <c r="AM110" s="659"/>
      <c r="AN110" s="659"/>
      <c r="AO110" s="659"/>
      <c r="AP110" s="659"/>
      <c r="AQ110" s="659"/>
      <c r="AR110" s="659"/>
    </row>
    <row r="111" spans="1:44" ht="117" hidden="1" customHeight="1" thickBot="1" x14ac:dyDescent="0.35">
      <c r="A111" s="462">
        <v>35</v>
      </c>
      <c r="B111" s="657" t="s">
        <v>359</v>
      </c>
      <c r="C111" s="4" t="s">
        <v>778</v>
      </c>
      <c r="D111" s="521" t="s">
        <v>965</v>
      </c>
      <c r="E111" s="531" t="e">
        <f>HLOOKUP($D$2,'2020 Data(H)'!$C$1:$CZ$426,23,FALSE)</f>
        <v>#N/A</v>
      </c>
      <c r="F111" s="281">
        <v>0</v>
      </c>
      <c r="G111" s="571"/>
      <c r="H111" s="17"/>
      <c r="I111" s="79"/>
      <c r="J111" s="437"/>
      <c r="L111" s="545"/>
      <c r="Z111" s="659"/>
      <c r="AA111" s="659"/>
      <c r="AB111" s="659"/>
      <c r="AC111" s="659"/>
      <c r="AD111" s="659"/>
      <c r="AE111" s="659"/>
      <c r="AF111" s="659"/>
      <c r="AG111" s="659"/>
      <c r="AH111" s="659"/>
      <c r="AI111" s="659"/>
      <c r="AJ111" s="659"/>
      <c r="AK111" s="659"/>
      <c r="AL111" s="659"/>
      <c r="AM111" s="659"/>
      <c r="AN111" s="659"/>
      <c r="AO111" s="659"/>
      <c r="AP111" s="659"/>
      <c r="AQ111" s="659"/>
      <c r="AR111" s="659"/>
    </row>
    <row r="112" spans="1:44" ht="108.75" hidden="1" customHeight="1" thickBot="1" x14ac:dyDescent="0.35">
      <c r="A112" s="462">
        <v>37</v>
      </c>
      <c r="B112" s="657" t="s">
        <v>359</v>
      </c>
      <c r="C112" s="4" t="s">
        <v>778</v>
      </c>
      <c r="D112" s="521" t="s">
        <v>879</v>
      </c>
      <c r="E112" s="531" t="e">
        <f>HLOOKUP($D$2,'2020 Data(H)'!$C$1:$CZ$426,25,FALSE)</f>
        <v>#N/A</v>
      </c>
      <c r="F112" s="281">
        <v>0</v>
      </c>
      <c r="G112" s="571"/>
      <c r="H112" s="17"/>
      <c r="I112" s="79"/>
      <c r="J112" s="437"/>
      <c r="L112" s="545"/>
      <c r="Z112" s="659"/>
      <c r="AA112" s="659"/>
      <c r="AB112" s="659"/>
      <c r="AC112" s="659"/>
      <c r="AD112" s="659"/>
      <c r="AE112" s="659"/>
      <c r="AF112" s="659"/>
      <c r="AG112" s="659"/>
      <c r="AH112" s="659"/>
      <c r="AI112" s="659"/>
      <c r="AJ112" s="659"/>
      <c r="AK112" s="659"/>
      <c r="AL112" s="659"/>
      <c r="AM112" s="659"/>
      <c r="AN112" s="659"/>
      <c r="AO112" s="659"/>
      <c r="AP112" s="659"/>
      <c r="AQ112" s="659"/>
      <c r="AR112" s="659"/>
    </row>
    <row r="113" spans="1:44" ht="102.75" hidden="1" customHeight="1" thickBot="1" x14ac:dyDescent="0.35">
      <c r="A113" s="462">
        <v>38</v>
      </c>
      <c r="B113" s="657" t="s">
        <v>359</v>
      </c>
      <c r="C113" s="4" t="s">
        <v>778</v>
      </c>
      <c r="D113" s="521" t="s">
        <v>781</v>
      </c>
      <c r="E113" s="531" t="e">
        <f>HLOOKUP($D$2,'2020 Data(H)'!$C$1:$CZ$426,26,FALSE)</f>
        <v>#N/A</v>
      </c>
      <c r="F113" s="281">
        <v>0</v>
      </c>
      <c r="G113" s="571"/>
      <c r="H113" s="17"/>
      <c r="I113" s="79"/>
      <c r="J113" s="437"/>
      <c r="L113" s="545"/>
      <c r="Z113" s="659"/>
      <c r="AA113" s="659"/>
      <c r="AB113" s="659"/>
      <c r="AC113" s="659"/>
      <c r="AD113" s="659"/>
      <c r="AE113" s="659"/>
      <c r="AF113" s="659"/>
      <c r="AG113" s="659"/>
      <c r="AH113" s="659"/>
      <c r="AI113" s="659"/>
      <c r="AJ113" s="659"/>
      <c r="AK113" s="659"/>
      <c r="AL113" s="659"/>
      <c r="AM113" s="659"/>
      <c r="AN113" s="659"/>
      <c r="AO113" s="659"/>
      <c r="AP113" s="659"/>
      <c r="AQ113" s="659"/>
      <c r="AR113" s="659"/>
    </row>
    <row r="114" spans="1:44" ht="117.75" hidden="1" customHeight="1" thickBot="1" x14ac:dyDescent="0.35">
      <c r="A114" s="462">
        <v>32</v>
      </c>
      <c r="B114" s="657" t="s">
        <v>439</v>
      </c>
      <c r="C114" s="660" t="s">
        <v>768</v>
      </c>
      <c r="D114" s="660" t="s">
        <v>769</v>
      </c>
      <c r="E114" s="531" t="e">
        <f>HLOOKUP($D$2,'2020 Data(H)'!$C$1:$CZ$426,20,FALSE)</f>
        <v>#N/A</v>
      </c>
      <c r="F114" s="281">
        <v>0</v>
      </c>
      <c r="G114" s="571"/>
      <c r="H114" s="17"/>
      <c r="I114" s="79"/>
      <c r="J114" s="437"/>
      <c r="L114" s="545"/>
      <c r="Z114" s="659"/>
      <c r="AA114" s="659"/>
      <c r="AB114" s="659"/>
      <c r="AC114" s="659"/>
      <c r="AD114" s="659"/>
      <c r="AE114" s="659"/>
      <c r="AF114" s="659"/>
      <c r="AG114" s="659"/>
      <c r="AH114" s="659"/>
      <c r="AI114" s="659"/>
      <c r="AJ114" s="659"/>
      <c r="AK114" s="659"/>
      <c r="AL114" s="659"/>
      <c r="AM114" s="659"/>
      <c r="AN114" s="659"/>
      <c r="AO114" s="659"/>
      <c r="AP114" s="659"/>
      <c r="AQ114" s="659"/>
      <c r="AR114" s="659"/>
    </row>
    <row r="115" spans="1:44" ht="116.25" hidden="1" customHeight="1" thickBot="1" x14ac:dyDescent="0.35">
      <c r="A115" s="462">
        <v>40</v>
      </c>
      <c r="B115" s="657" t="s">
        <v>359</v>
      </c>
      <c r="C115" s="660" t="s">
        <v>782</v>
      </c>
      <c r="D115" s="521" t="s">
        <v>783</v>
      </c>
      <c r="E115" s="531" t="e">
        <f>HLOOKUP($D$2,'2020 Data(H)'!$C$1:$CZ$426,28,FALSE)</f>
        <v>#N/A</v>
      </c>
      <c r="F115" s="281">
        <v>0</v>
      </c>
      <c r="G115" s="571"/>
      <c r="H115" s="17"/>
      <c r="I115" s="79"/>
      <c r="J115" s="437"/>
      <c r="L115" s="545"/>
      <c r="Z115" s="659"/>
      <c r="AA115" s="659"/>
      <c r="AB115" s="659"/>
      <c r="AC115" s="659"/>
      <c r="AD115" s="659"/>
      <c r="AE115" s="659"/>
      <c r="AF115" s="659"/>
      <c r="AG115" s="659"/>
      <c r="AH115" s="659"/>
      <c r="AI115" s="659"/>
      <c r="AJ115" s="659"/>
      <c r="AK115" s="659"/>
      <c r="AL115" s="659"/>
      <c r="AM115" s="659"/>
      <c r="AN115" s="659"/>
      <c r="AO115" s="659"/>
      <c r="AP115" s="659"/>
      <c r="AQ115" s="659"/>
      <c r="AR115" s="659"/>
    </row>
    <row r="116" spans="1:44" ht="104.25" hidden="1" customHeight="1" thickBot="1" x14ac:dyDescent="0.35">
      <c r="A116" s="462">
        <v>107</v>
      </c>
      <c r="B116" s="657" t="s">
        <v>359</v>
      </c>
      <c r="C116" s="660" t="s">
        <v>782</v>
      </c>
      <c r="D116" s="521" t="s">
        <v>784</v>
      </c>
      <c r="E116" s="531" t="e">
        <f>HLOOKUP($D$2,'2020 Data(H)'!$C$1:$CZ$426,65,FALSE)</f>
        <v>#N/A</v>
      </c>
      <c r="F116" s="281">
        <v>0</v>
      </c>
      <c r="G116" s="571"/>
      <c r="H116" s="17"/>
      <c r="I116" s="79"/>
      <c r="J116" s="437"/>
      <c r="L116" s="545"/>
      <c r="Z116" s="659"/>
      <c r="AA116" s="659"/>
      <c r="AB116" s="659"/>
      <c r="AC116" s="659"/>
      <c r="AD116" s="659"/>
      <c r="AE116" s="659"/>
      <c r="AF116" s="659"/>
      <c r="AG116" s="659"/>
      <c r="AH116" s="659"/>
      <c r="AI116" s="659"/>
      <c r="AJ116" s="659"/>
      <c r="AK116" s="659"/>
      <c r="AL116" s="659"/>
      <c r="AM116" s="659"/>
      <c r="AN116" s="659"/>
      <c r="AO116" s="659"/>
      <c r="AP116" s="659"/>
      <c r="AQ116" s="659"/>
      <c r="AR116" s="659"/>
    </row>
    <row r="117" spans="1:44" ht="107.25" hidden="1" customHeight="1" thickBot="1" x14ac:dyDescent="0.35">
      <c r="A117" s="462">
        <v>108</v>
      </c>
      <c r="B117" s="657" t="s">
        <v>359</v>
      </c>
      <c r="C117" s="660" t="s">
        <v>782</v>
      </c>
      <c r="D117" s="521" t="s">
        <v>880</v>
      </c>
      <c r="E117" s="531" t="e">
        <f>HLOOKUP($D$2,'2020 Data(H)'!$C$1:$CZ$426,66,FALSE)</f>
        <v>#N/A</v>
      </c>
      <c r="F117" s="281">
        <v>0</v>
      </c>
      <c r="G117" s="571"/>
      <c r="H117" s="17"/>
      <c r="I117" s="79"/>
      <c r="J117" s="437"/>
      <c r="L117" s="545"/>
      <c r="Z117" s="659"/>
      <c r="AA117" s="659"/>
      <c r="AB117" s="659"/>
      <c r="AC117" s="659"/>
      <c r="AD117" s="659"/>
      <c r="AE117" s="659"/>
      <c r="AF117" s="659"/>
      <c r="AG117" s="659"/>
      <c r="AH117" s="659"/>
      <c r="AI117" s="659"/>
      <c r="AJ117" s="659"/>
      <c r="AK117" s="659"/>
      <c r="AL117" s="659"/>
      <c r="AM117" s="659"/>
      <c r="AN117" s="659"/>
      <c r="AO117" s="659"/>
      <c r="AP117" s="659"/>
      <c r="AQ117" s="659"/>
      <c r="AR117" s="659"/>
    </row>
    <row r="118" spans="1:44" ht="93" hidden="1" customHeight="1" thickBot="1" x14ac:dyDescent="0.35">
      <c r="A118" s="462">
        <v>41</v>
      </c>
      <c r="B118" s="657" t="s">
        <v>359</v>
      </c>
      <c r="C118" s="660" t="s">
        <v>782</v>
      </c>
      <c r="D118" s="521" t="s">
        <v>881</v>
      </c>
      <c r="E118" s="531" t="e">
        <f>HLOOKUP($D$2,'2020 Data(H)'!$C$1:$CZ$426,29,FALSE)</f>
        <v>#N/A</v>
      </c>
      <c r="F118" s="281">
        <v>0</v>
      </c>
      <c r="G118" s="571"/>
      <c r="H118" s="17"/>
      <c r="I118" s="79"/>
      <c r="J118" s="437"/>
      <c r="L118" s="545"/>
      <c r="Z118" s="659"/>
      <c r="AA118" s="659"/>
      <c r="AB118" s="659"/>
      <c r="AC118" s="659"/>
      <c r="AD118" s="659"/>
      <c r="AE118" s="659"/>
      <c r="AF118" s="659"/>
      <c r="AG118" s="659"/>
      <c r="AH118" s="659"/>
      <c r="AI118" s="659"/>
      <c r="AJ118" s="659"/>
      <c r="AK118" s="659"/>
      <c r="AL118" s="659"/>
      <c r="AM118" s="659"/>
      <c r="AN118" s="659"/>
      <c r="AO118" s="659"/>
      <c r="AP118" s="659"/>
      <c r="AQ118" s="659"/>
      <c r="AR118" s="659"/>
    </row>
    <row r="119" spans="1:44" ht="120.75" hidden="1" customHeight="1" thickBot="1" x14ac:dyDescent="0.35">
      <c r="A119" s="462">
        <v>194</v>
      </c>
      <c r="B119" s="657" t="s">
        <v>359</v>
      </c>
      <c r="C119" s="660" t="s">
        <v>782</v>
      </c>
      <c r="D119" s="521" t="s">
        <v>785</v>
      </c>
      <c r="E119" s="531" t="e">
        <f>HLOOKUP($D$2,'2020 Data(H)'!$C$1:$CZ$426,75,FALSE)</f>
        <v>#N/A</v>
      </c>
      <c r="F119" s="281">
        <v>0</v>
      </c>
      <c r="G119" s="571"/>
      <c r="H119" s="17"/>
      <c r="I119" s="79"/>
      <c r="J119" s="437"/>
      <c r="L119" s="545"/>
      <c r="Z119" s="659"/>
      <c r="AA119" s="659"/>
      <c r="AB119" s="659"/>
      <c r="AC119" s="659"/>
      <c r="AD119" s="659"/>
      <c r="AE119" s="659"/>
      <c r="AF119" s="659"/>
      <c r="AG119" s="659"/>
      <c r="AH119" s="659"/>
      <c r="AI119" s="659"/>
      <c r="AJ119" s="659"/>
      <c r="AK119" s="659"/>
      <c r="AL119" s="659"/>
      <c r="AM119" s="659"/>
      <c r="AN119" s="659"/>
      <c r="AO119" s="659"/>
      <c r="AP119" s="659"/>
      <c r="AQ119" s="659"/>
      <c r="AR119" s="659"/>
    </row>
    <row r="120" spans="1:44" ht="123.75" hidden="1" customHeight="1" thickBot="1" x14ac:dyDescent="0.35">
      <c r="A120" s="462">
        <v>294</v>
      </c>
      <c r="B120" s="657" t="s">
        <v>359</v>
      </c>
      <c r="C120" s="660" t="s">
        <v>782</v>
      </c>
      <c r="D120" s="521" t="s">
        <v>786</v>
      </c>
      <c r="E120" s="531" t="e">
        <f>HLOOKUP($D$2,'2020 Data(H)'!$C$1:$CZ$426,83,FALSE)</f>
        <v>#N/A</v>
      </c>
      <c r="F120" s="281">
        <v>0</v>
      </c>
      <c r="G120" s="571"/>
      <c r="H120" s="17"/>
      <c r="I120" s="79"/>
      <c r="J120" s="437"/>
      <c r="L120" s="545"/>
      <c r="Z120" s="659"/>
      <c r="AA120" s="659"/>
      <c r="AB120" s="659"/>
      <c r="AC120" s="659"/>
      <c r="AD120" s="659"/>
      <c r="AE120" s="659"/>
      <c r="AF120" s="659"/>
      <c r="AG120" s="659"/>
      <c r="AH120" s="659"/>
      <c r="AI120" s="659"/>
      <c r="AJ120" s="659"/>
      <c r="AK120" s="659"/>
      <c r="AL120" s="659"/>
      <c r="AM120" s="659"/>
      <c r="AN120" s="659"/>
      <c r="AO120" s="659"/>
      <c r="AP120" s="659"/>
      <c r="AQ120" s="659"/>
      <c r="AR120" s="659"/>
    </row>
    <row r="121" spans="1:44" hidden="1" x14ac:dyDescent="0.3">
      <c r="A121" s="640"/>
      <c r="E121" s="531"/>
      <c r="Z121" s="18"/>
    </row>
    <row r="122" spans="1:44" hidden="1" x14ac:dyDescent="0.3">
      <c r="A122" s="640"/>
      <c r="E122" s="531"/>
      <c r="Z122" s="18"/>
    </row>
    <row r="123" spans="1:44" ht="129.75" customHeight="1" thickBot="1" x14ac:dyDescent="0.35">
      <c r="A123" s="462">
        <v>31</v>
      </c>
      <c r="B123" s="657" t="s">
        <v>439</v>
      </c>
      <c r="C123" s="660" t="s">
        <v>768</v>
      </c>
      <c r="D123" s="660" t="s">
        <v>770</v>
      </c>
      <c r="E123" s="531" t="e">
        <f>HLOOKUP($D$2,'2020 Data(H)'!$C$1:$CZ$426,19,FALSE)</f>
        <v>#N/A</v>
      </c>
      <c r="F123" s="281">
        <v>0</v>
      </c>
      <c r="G123" s="571"/>
      <c r="H123" s="17"/>
      <c r="I123" s="79"/>
      <c r="J123" s="437"/>
      <c r="L123" s="545"/>
      <c r="Z123" s="659"/>
      <c r="AA123" s="659"/>
      <c r="AB123" s="659"/>
      <c r="AC123" s="659"/>
      <c r="AD123" s="659"/>
      <c r="AE123" s="659"/>
      <c r="AF123" s="659"/>
      <c r="AG123" s="659"/>
      <c r="AH123" s="659"/>
      <c r="AI123" s="659"/>
      <c r="AJ123" s="659"/>
      <c r="AK123" s="659"/>
      <c r="AL123" s="659"/>
      <c r="AM123" s="659"/>
      <c r="AN123" s="659"/>
      <c r="AO123" s="659"/>
      <c r="AP123" s="659"/>
      <c r="AQ123" s="659"/>
      <c r="AR123" s="659"/>
    </row>
    <row r="124" spans="1:44" ht="94.5" hidden="1" customHeight="1" thickBot="1" x14ac:dyDescent="0.35">
      <c r="A124" s="899">
        <v>193</v>
      </c>
      <c r="B124" s="657" t="s">
        <v>439</v>
      </c>
      <c r="C124" s="660" t="s">
        <v>771</v>
      </c>
      <c r="D124" s="660" t="s">
        <v>304</v>
      </c>
      <c r="E124" s="531" t="e">
        <f>HLOOKUP($D$2,'2020 Data(H)'!$C$1:$CZ$426,74,FALSE)</f>
        <v>#N/A</v>
      </c>
      <c r="F124" s="281">
        <v>0</v>
      </c>
      <c r="G124" s="571"/>
      <c r="H124" s="17"/>
      <c r="I124" s="79"/>
      <c r="J124" s="437"/>
      <c r="L124" s="545"/>
      <c r="Z124" s="659"/>
      <c r="AA124" s="659"/>
      <c r="AB124" s="659"/>
      <c r="AC124" s="659"/>
      <c r="AD124" s="659"/>
      <c r="AE124" s="659"/>
      <c r="AF124" s="659"/>
      <c r="AG124" s="659"/>
      <c r="AH124" s="659"/>
      <c r="AI124" s="659"/>
      <c r="AJ124" s="659"/>
      <c r="AK124" s="659"/>
      <c r="AL124" s="659"/>
      <c r="AM124" s="659"/>
      <c r="AN124" s="659"/>
      <c r="AO124" s="659"/>
      <c r="AP124" s="659"/>
      <c r="AQ124" s="659"/>
      <c r="AR124" s="659"/>
    </row>
    <row r="125" spans="1:44" ht="78" hidden="1" customHeight="1" thickBot="1" x14ac:dyDescent="0.35">
      <c r="A125" s="899">
        <v>33</v>
      </c>
      <c r="B125" s="657" t="s">
        <v>439</v>
      </c>
      <c r="C125" s="660" t="s">
        <v>771</v>
      </c>
      <c r="D125" s="660" t="s">
        <v>293</v>
      </c>
      <c r="E125" s="531" t="e">
        <f>HLOOKUP($D$2,'2020 Data(H)'!$C$1:$CZ$426,21,FALSE)</f>
        <v>#N/A</v>
      </c>
      <c r="F125" s="281">
        <v>0</v>
      </c>
      <c r="G125" s="571"/>
      <c r="H125" s="17"/>
      <c r="I125" s="79"/>
      <c r="J125" s="437"/>
      <c r="L125" s="545"/>
      <c r="Z125" s="659"/>
      <c r="AA125" s="659"/>
      <c r="AB125" s="659"/>
      <c r="AC125" s="659"/>
      <c r="AD125" s="659"/>
      <c r="AE125" s="659"/>
      <c r="AF125" s="659"/>
      <c r="AG125" s="659"/>
      <c r="AH125" s="659"/>
      <c r="AI125" s="659"/>
      <c r="AJ125" s="659"/>
      <c r="AK125" s="659"/>
      <c r="AL125" s="659"/>
      <c r="AM125" s="659"/>
      <c r="AN125" s="659"/>
      <c r="AO125" s="659"/>
      <c r="AP125" s="659"/>
      <c r="AQ125" s="659"/>
      <c r="AR125" s="659"/>
    </row>
    <row r="126" spans="1:44" ht="55.5" hidden="1" customHeight="1" thickBot="1" x14ac:dyDescent="0.35">
      <c r="A126" s="462">
        <v>104</v>
      </c>
      <c r="B126" s="657" t="s">
        <v>439</v>
      </c>
      <c r="C126" s="4" t="s">
        <v>787</v>
      </c>
      <c r="D126" s="521" t="s">
        <v>788</v>
      </c>
      <c r="E126" s="531" t="e">
        <f>HLOOKUP($D$2,'2020 Data(H)'!$C$1:$CZ$426,64,FALSE)</f>
        <v>#N/A</v>
      </c>
      <c r="F126" s="281">
        <v>0</v>
      </c>
      <c r="G126" s="571"/>
      <c r="H126" s="17"/>
      <c r="I126" s="79"/>
      <c r="J126" s="437"/>
      <c r="L126" s="545"/>
      <c r="Z126" s="659"/>
      <c r="AA126" s="659"/>
      <c r="AB126" s="659"/>
      <c r="AC126" s="659"/>
      <c r="AD126" s="659"/>
      <c r="AE126" s="659"/>
      <c r="AF126" s="659"/>
      <c r="AG126" s="659"/>
      <c r="AH126" s="659"/>
      <c r="AI126" s="659"/>
      <c r="AJ126" s="659"/>
      <c r="AK126" s="659"/>
      <c r="AL126" s="659"/>
      <c r="AM126" s="659"/>
      <c r="AN126" s="659"/>
      <c r="AO126" s="659"/>
      <c r="AP126" s="659"/>
      <c r="AQ126" s="659"/>
      <c r="AR126" s="659"/>
    </row>
    <row r="127" spans="1:44" ht="70.5" hidden="1" customHeight="1" thickBot="1" x14ac:dyDescent="0.35">
      <c r="A127" s="462">
        <v>39</v>
      </c>
      <c r="B127" s="657" t="s">
        <v>439</v>
      </c>
      <c r="C127" s="4" t="s">
        <v>787</v>
      </c>
      <c r="D127" s="24" t="s">
        <v>789</v>
      </c>
      <c r="E127" s="531" t="e">
        <f>HLOOKUP($D$2,'2020 Data(H)'!$C$1:$CZ$426,27,FALSE)</f>
        <v>#N/A</v>
      </c>
      <c r="F127" s="281">
        <v>0</v>
      </c>
      <c r="G127" s="571"/>
      <c r="H127" s="17"/>
      <c r="I127" s="79"/>
      <c r="J127" s="437"/>
      <c r="L127" s="545"/>
      <c r="Z127" s="659"/>
      <c r="AA127" s="659"/>
      <c r="AB127" s="659"/>
      <c r="AC127" s="659"/>
      <c r="AD127" s="659"/>
      <c r="AE127" s="659"/>
      <c r="AF127" s="659"/>
      <c r="AG127" s="659"/>
      <c r="AH127" s="659"/>
      <c r="AI127" s="659"/>
      <c r="AJ127" s="659"/>
      <c r="AK127" s="659"/>
      <c r="AL127" s="659"/>
      <c r="AM127" s="659"/>
      <c r="AN127" s="659"/>
      <c r="AO127" s="659"/>
      <c r="AP127" s="659"/>
      <c r="AQ127" s="659"/>
      <c r="AR127" s="659"/>
    </row>
    <row r="128" spans="1:44" ht="15" hidden="1" thickBot="1" x14ac:dyDescent="0.35">
      <c r="A128" s="108"/>
      <c r="B128" s="697" t="s">
        <v>882</v>
      </c>
      <c r="C128" s="697"/>
      <c r="D128" s="681"/>
      <c r="E128" s="681"/>
      <c r="F128" s="701"/>
      <c r="G128" s="702"/>
      <c r="H128" s="17"/>
      <c r="I128" s="79"/>
      <c r="L128" s="545"/>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08"/>
      <c r="B129" s="697" t="s">
        <v>24</v>
      </c>
      <c r="C129" s="697"/>
      <c r="D129" s="697"/>
      <c r="E129" s="679"/>
      <c r="F129" s="703"/>
      <c r="G129" s="704"/>
      <c r="H129" s="17"/>
      <c r="I129" s="79"/>
      <c r="L129" s="545"/>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08"/>
      <c r="B130" s="697" t="s">
        <v>22</v>
      </c>
      <c r="C130" s="697"/>
      <c r="D130" s="697"/>
      <c r="E130" s="679"/>
      <c r="F130" s="703"/>
      <c r="G130" s="704"/>
      <c r="H130" s="585"/>
      <c r="I130" s="79"/>
      <c r="L130" s="545"/>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08">
        <v>596</v>
      </c>
      <c r="B131" s="533" t="s">
        <v>57</v>
      </c>
      <c r="C131" s="662"/>
      <c r="D131" s="530" t="s">
        <v>368</v>
      </c>
      <c r="E131" s="531" t="e">
        <f>HLOOKUP($D$2,'2020 Data(H)'!$C$1:$CZ$426,255,FALSE)</f>
        <v>#N/A</v>
      </c>
      <c r="F131" s="281"/>
      <c r="G131" s="586"/>
      <c r="H131" s="585"/>
      <c r="I131" s="79"/>
      <c r="L131" s="545"/>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08">
        <v>80</v>
      </c>
      <c r="B132" s="4" t="s">
        <v>62</v>
      </c>
      <c r="C132" s="4" t="s">
        <v>883</v>
      </c>
      <c r="D132" s="24" t="s">
        <v>884</v>
      </c>
      <c r="E132" s="531" t="e">
        <f>HLOOKUP($D$2,'2020 Data(H)'!$C$1:$CZ$426,44,FALSE)</f>
        <v>#N/A</v>
      </c>
      <c r="F132" s="271">
        <v>0</v>
      </c>
      <c r="G132" s="531" t="e">
        <f>HLOOKUP($D$2,'2020 Data(H)'!C1:BS295,249,FALSE)</f>
        <v>#N/A</v>
      </c>
      <c r="H132" s="587"/>
      <c r="I132" s="79"/>
      <c r="L132" s="545"/>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08">
        <v>81</v>
      </c>
      <c r="B133" s="4" t="s">
        <v>62</v>
      </c>
      <c r="C133" s="4" t="s">
        <v>883</v>
      </c>
      <c r="D133" s="24" t="s">
        <v>885</v>
      </c>
      <c r="E133" s="531" t="e">
        <f>HLOOKUP($D$2,'2020 Data(H)'!$C$1:$CZ$426,45,FALSE)</f>
        <v>#N/A</v>
      </c>
      <c r="F133" s="281">
        <v>0</v>
      </c>
      <c r="G133" s="581"/>
      <c r="H133" s="17"/>
      <c r="I133" s="79"/>
      <c r="L133" s="545"/>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08">
        <v>579</v>
      </c>
      <c r="B134" s="663" t="s">
        <v>345</v>
      </c>
      <c r="C134" s="533" t="s">
        <v>883</v>
      </c>
      <c r="D134" s="664" t="s">
        <v>886</v>
      </c>
      <c r="E134" s="531" t="e">
        <f>HLOOKUP($D$2,'2020 Data(H)'!$C$1:$CZ$426,229,FALSE)</f>
        <v>#N/A</v>
      </c>
      <c r="F134" s="281">
        <v>0</v>
      </c>
      <c r="G134" s="571"/>
      <c r="H134" s="17"/>
      <c r="I134" s="572"/>
      <c r="L134" s="545"/>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08">
        <v>510</v>
      </c>
      <c r="B135" s="4" t="s">
        <v>37</v>
      </c>
      <c r="C135" s="4" t="s">
        <v>883</v>
      </c>
      <c r="D135" s="29" t="s">
        <v>319</v>
      </c>
      <c r="E135" s="531" t="e">
        <f>HLOOKUP($D$2,'2020 Data(H)'!$C$1:$CZ$426,160,FALSE)</f>
        <v>#N/A</v>
      </c>
      <c r="F135" s="281">
        <v>0</v>
      </c>
      <c r="G135" s="581"/>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291">
        <v>654</v>
      </c>
      <c r="B136" s="665" t="s">
        <v>37</v>
      </c>
      <c r="C136" s="665" t="s">
        <v>883</v>
      </c>
      <c r="D136" s="322" t="s">
        <v>887</v>
      </c>
      <c r="E136" s="531" t="e">
        <f>HLOOKUP($D$2,'2020 Data(H)'!$C$1:$CZ$426,307,FALSE)</f>
        <v>#N/A</v>
      </c>
      <c r="F136" s="281">
        <v>0</v>
      </c>
      <c r="G136" s="571">
        <f>IF((F132+F133+F135)&gt;F136,"Error: Please review components of current assets above.  Account numbers (80+81+510)&gt;654",)</f>
        <v>0</v>
      </c>
      <c r="H136" s="17"/>
      <c r="I136" s="79"/>
      <c r="Z136" s="291"/>
      <c r="AA136" s="291"/>
      <c r="AB136" s="291"/>
      <c r="AC136" s="291"/>
      <c r="AD136" s="291"/>
      <c r="AE136" s="291"/>
      <c r="AF136" s="291"/>
      <c r="AG136" s="291"/>
      <c r="AH136" s="291"/>
      <c r="AI136" s="291"/>
      <c r="AJ136" s="291"/>
      <c r="AK136" s="291"/>
      <c r="AL136" s="291"/>
      <c r="AM136" s="291"/>
      <c r="AN136" s="291"/>
      <c r="AO136" s="291"/>
      <c r="AP136" s="291"/>
      <c r="AQ136" s="291"/>
      <c r="AR136" s="291"/>
    </row>
    <row r="137" spans="1:44" ht="75.75" hidden="1" customHeight="1" x14ac:dyDescent="0.3">
      <c r="A137" s="291">
        <v>655</v>
      </c>
      <c r="B137" s="665" t="s">
        <v>37</v>
      </c>
      <c r="C137" s="665" t="s">
        <v>883</v>
      </c>
      <c r="D137" s="293" t="s">
        <v>529</v>
      </c>
      <c r="E137" s="531" t="e">
        <f>HLOOKUP($D$2,'2020 Data(H)'!$C$1:$CZ$426,308,FALSE)</f>
        <v>#N/A</v>
      </c>
      <c r="F137" s="281">
        <v>0</v>
      </c>
      <c r="G137" s="571"/>
      <c r="H137" s="17"/>
      <c r="I137" s="79"/>
      <c r="Z137" s="291"/>
      <c r="AA137" s="291"/>
      <c r="AB137" s="291"/>
      <c r="AC137" s="291"/>
      <c r="AD137" s="291"/>
      <c r="AE137" s="291"/>
      <c r="AF137" s="291"/>
      <c r="AG137" s="291"/>
      <c r="AH137" s="291"/>
      <c r="AI137" s="291"/>
      <c r="AJ137" s="291"/>
      <c r="AK137" s="291"/>
      <c r="AL137" s="291"/>
      <c r="AM137" s="291"/>
      <c r="AN137" s="291"/>
      <c r="AO137" s="291"/>
      <c r="AP137" s="291"/>
      <c r="AQ137" s="291"/>
      <c r="AR137" s="291"/>
    </row>
    <row r="138" spans="1:44" ht="48" hidden="1" customHeight="1" x14ac:dyDescent="0.3">
      <c r="A138" s="108">
        <v>381</v>
      </c>
      <c r="B138" s="4" t="s">
        <v>37</v>
      </c>
      <c r="C138" s="4" t="s">
        <v>883</v>
      </c>
      <c r="D138" s="106" t="s">
        <v>130</v>
      </c>
      <c r="E138" s="531" t="e">
        <f>HLOOKUP($D$2,'2020 Data(H)'!$C$1:$CZ$426,140,FALSE)</f>
        <v>#N/A</v>
      </c>
      <c r="F138" s="281">
        <v>0</v>
      </c>
      <c r="G138" s="571">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08">
        <v>578</v>
      </c>
      <c r="B139" s="533" t="s">
        <v>59</v>
      </c>
      <c r="C139" s="533" t="s">
        <v>883</v>
      </c>
      <c r="D139" s="664" t="s">
        <v>888</v>
      </c>
      <c r="E139" s="531" t="e">
        <f>HLOOKUP($D$2,'2020 Data(H)'!$C$1:$CZ$426,228,FALSE)</f>
        <v>#N/A</v>
      </c>
      <c r="F139" s="281">
        <v>0</v>
      </c>
      <c r="G139" s="571"/>
      <c r="H139" s="572"/>
      <c r="I139" s="573"/>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292">
        <v>633</v>
      </c>
      <c r="B140" s="665" t="s">
        <v>528</v>
      </c>
      <c r="C140" s="665" t="s">
        <v>443</v>
      </c>
      <c r="D140" s="322" t="s">
        <v>966</v>
      </c>
      <c r="E140" s="531" t="e">
        <f>HLOOKUP($D$2,'2020 Data(H)'!$C$1:$CZ$426,292,FALSE)</f>
        <v>#N/A</v>
      </c>
      <c r="F140" s="281">
        <v>0</v>
      </c>
      <c r="G140" s="588" t="str">
        <f>IF(F140&gt;=(F141+F142+F143+F144+F145+F146),"","Account 633 is less than the total sum of accounts 634 through 638 + 383")</f>
        <v/>
      </c>
      <c r="H140" s="594">
        <f>F140-(F141+F142+F143+F144+F145+F146)</f>
        <v>0</v>
      </c>
      <c r="I140" s="576" t="str">
        <f>IF(F140&gt;=(F141+F142+F143+F144+F145+F146),"","Account 633 is less than the total sum of accounts 634 through 638 + 383")</f>
        <v/>
      </c>
      <c r="Z140" s="292"/>
      <c r="AA140" s="292"/>
      <c r="AB140" s="292"/>
      <c r="AC140" s="292"/>
      <c r="AD140" s="292"/>
      <c r="AE140" s="292"/>
      <c r="AF140" s="292"/>
      <c r="AG140" s="292"/>
      <c r="AH140" s="292"/>
      <c r="AI140" s="292"/>
      <c r="AJ140" s="292"/>
      <c r="AK140" s="292"/>
      <c r="AL140" s="292"/>
      <c r="AM140" s="292"/>
      <c r="AN140" s="292"/>
      <c r="AO140" s="292"/>
      <c r="AP140" s="292"/>
      <c r="AQ140" s="292"/>
      <c r="AR140" s="292"/>
    </row>
    <row r="141" spans="1:44" ht="109.5" hidden="1" customHeight="1" x14ac:dyDescent="0.3">
      <c r="A141" s="291">
        <v>634</v>
      </c>
      <c r="B141" s="666" t="s">
        <v>439</v>
      </c>
      <c r="C141" s="665" t="s">
        <v>443</v>
      </c>
      <c r="D141" s="322" t="s">
        <v>968</v>
      </c>
      <c r="E141" s="531" t="e">
        <f>HLOOKUP($D$2,'2020 Data(H)'!$C$1:$CZ$426,293,FALSE)</f>
        <v>#N/A</v>
      </c>
      <c r="F141" s="281">
        <v>0</v>
      </c>
      <c r="G141" s="589">
        <f>IF(F141&gt;F140,"Please review account numbers 634&gt;633",)</f>
        <v>0</v>
      </c>
      <c r="H141" s="576"/>
      <c r="I141" s="576"/>
      <c r="Z141" s="291"/>
      <c r="AA141" s="291"/>
      <c r="AB141" s="291"/>
      <c r="AC141" s="291"/>
      <c r="AD141" s="291"/>
      <c r="AE141" s="291"/>
      <c r="AF141" s="291"/>
      <c r="AG141" s="291"/>
      <c r="AH141" s="291"/>
      <c r="AI141" s="291"/>
      <c r="AJ141" s="291"/>
      <c r="AK141" s="291"/>
      <c r="AL141" s="291"/>
      <c r="AM141" s="291"/>
      <c r="AN141" s="291"/>
      <c r="AO141" s="291"/>
      <c r="AP141" s="291"/>
      <c r="AQ141" s="291"/>
      <c r="AR141" s="291"/>
    </row>
    <row r="142" spans="1:44" ht="130.5" hidden="1" customHeight="1" x14ac:dyDescent="0.3">
      <c r="A142" s="291">
        <v>635</v>
      </c>
      <c r="B142" s="666" t="s">
        <v>439</v>
      </c>
      <c r="C142" s="665" t="s">
        <v>443</v>
      </c>
      <c r="D142" s="322" t="s">
        <v>967</v>
      </c>
      <c r="E142" s="531" t="e">
        <f>HLOOKUP($D$2,'2020 Data(H)'!$C$1:$CZ$426,294,FALSE)</f>
        <v>#N/A</v>
      </c>
      <c r="F142" s="281">
        <v>0</v>
      </c>
      <c r="G142" s="589">
        <f>IF(F142&gt;F140,"Please review account numbers 635&gt;633",)</f>
        <v>0</v>
      </c>
      <c r="H142" s="576"/>
      <c r="I142" s="576"/>
      <c r="Z142" s="291"/>
      <c r="AA142" s="291"/>
      <c r="AB142" s="291"/>
      <c r="AC142" s="291"/>
      <c r="AD142" s="291"/>
      <c r="AE142" s="291"/>
      <c r="AF142" s="291"/>
      <c r="AG142" s="291"/>
      <c r="AH142" s="291"/>
      <c r="AI142" s="291"/>
      <c r="AJ142" s="291"/>
      <c r="AK142" s="291"/>
      <c r="AL142" s="291"/>
      <c r="AM142" s="291"/>
      <c r="AN142" s="291"/>
      <c r="AO142" s="291"/>
      <c r="AP142" s="291"/>
      <c r="AQ142" s="291"/>
      <c r="AR142" s="291"/>
    </row>
    <row r="143" spans="1:44" ht="106.5" hidden="1" customHeight="1" x14ac:dyDescent="0.3">
      <c r="A143" s="291">
        <v>636</v>
      </c>
      <c r="B143" s="666" t="s">
        <v>439</v>
      </c>
      <c r="C143" s="665" t="s">
        <v>443</v>
      </c>
      <c r="D143" s="322" t="s">
        <v>972</v>
      </c>
      <c r="E143" s="531" t="e">
        <f>HLOOKUP($D$2,'2020 Data(H)'!$C$1:$CZ$426,295,FALSE)</f>
        <v>#N/A</v>
      </c>
      <c r="F143" s="281">
        <v>0</v>
      </c>
      <c r="G143" s="589">
        <f>IF(F143&gt;F140,"Please review account numbers 636&gt;633",)</f>
        <v>0</v>
      </c>
      <c r="H143" s="576"/>
      <c r="I143" s="576"/>
      <c r="Z143" s="291"/>
      <c r="AA143" s="291"/>
      <c r="AB143" s="291"/>
      <c r="AC143" s="291"/>
      <c r="AD143" s="291"/>
      <c r="AE143" s="291"/>
      <c r="AF143" s="291"/>
      <c r="AG143" s="291"/>
      <c r="AH143" s="291"/>
      <c r="AI143" s="291"/>
      <c r="AJ143" s="291"/>
      <c r="AK143" s="291"/>
      <c r="AL143" s="291"/>
      <c r="AM143" s="291"/>
      <c r="AN143" s="291"/>
      <c r="AO143" s="291"/>
      <c r="AP143" s="291"/>
      <c r="AQ143" s="291"/>
      <c r="AR143" s="291"/>
    </row>
    <row r="144" spans="1:44" ht="80.25" hidden="1" customHeight="1" x14ac:dyDescent="0.3">
      <c r="A144" s="291">
        <v>637</v>
      </c>
      <c r="B144" s="666" t="s">
        <v>439</v>
      </c>
      <c r="C144" s="665" t="s">
        <v>443</v>
      </c>
      <c r="D144" s="322" t="s">
        <v>971</v>
      </c>
      <c r="E144" s="531" t="e">
        <f>HLOOKUP($D$2,'2020 Data(H)'!$C$1:$CZ$426,296,FALSE)</f>
        <v>#N/A</v>
      </c>
      <c r="F144" s="281">
        <v>0</v>
      </c>
      <c r="G144" s="589">
        <f>IF(F144&gt;F140,"Please review account numbers 637&gt;633",)</f>
        <v>0</v>
      </c>
      <c r="H144" s="576"/>
      <c r="I144" s="576"/>
      <c r="Z144" s="291"/>
      <c r="AA144" s="291"/>
      <c r="AB144" s="291"/>
      <c r="AC144" s="291"/>
      <c r="AD144" s="291"/>
      <c r="AE144" s="291"/>
      <c r="AF144" s="291"/>
      <c r="AG144" s="291"/>
      <c r="AH144" s="291"/>
      <c r="AI144" s="291"/>
      <c r="AJ144" s="291"/>
      <c r="AK144" s="291"/>
      <c r="AL144" s="291"/>
      <c r="AM144" s="291"/>
      <c r="AN144" s="291"/>
      <c r="AO144" s="291"/>
      <c r="AP144" s="291"/>
      <c r="AQ144" s="291"/>
      <c r="AR144" s="291"/>
    </row>
    <row r="145" spans="1:44" ht="110.25" hidden="1" customHeight="1" x14ac:dyDescent="0.3">
      <c r="A145" s="291">
        <v>638</v>
      </c>
      <c r="B145" s="666" t="s">
        <v>439</v>
      </c>
      <c r="C145" s="665" t="s">
        <v>443</v>
      </c>
      <c r="D145" s="322" t="s">
        <v>970</v>
      </c>
      <c r="E145" s="531" t="e">
        <f>HLOOKUP($D$2,'2020 Data(H)'!$C$1:$CZ$426,297,FALSE)</f>
        <v>#N/A</v>
      </c>
      <c r="F145" s="281">
        <v>0</v>
      </c>
      <c r="G145" s="589">
        <f>IF(F145&gt;F140,"Please review account numbers 638&gt;633",)</f>
        <v>0</v>
      </c>
      <c r="H145" s="576"/>
      <c r="I145" s="576"/>
      <c r="Z145" s="291"/>
      <c r="AA145" s="291"/>
      <c r="AB145" s="291"/>
      <c r="AC145" s="291"/>
      <c r="AD145" s="291"/>
      <c r="AE145" s="291"/>
      <c r="AF145" s="291"/>
      <c r="AG145" s="291"/>
      <c r="AH145" s="291"/>
      <c r="AI145" s="291"/>
      <c r="AJ145" s="291"/>
      <c r="AK145" s="291"/>
      <c r="AL145" s="291"/>
      <c r="AM145" s="291"/>
      <c r="AN145" s="291"/>
      <c r="AO145" s="291"/>
      <c r="AP145" s="291"/>
      <c r="AQ145" s="291"/>
      <c r="AR145" s="291"/>
    </row>
    <row r="146" spans="1:44" ht="93.75" hidden="1" customHeight="1" x14ac:dyDescent="0.3">
      <c r="A146" s="108">
        <v>383</v>
      </c>
      <c r="B146" s="4" t="s">
        <v>62</v>
      </c>
      <c r="C146" s="4" t="s">
        <v>883</v>
      </c>
      <c r="D146" s="29" t="s">
        <v>969</v>
      </c>
      <c r="E146" s="531" t="e">
        <f>HLOOKUP($D$2,'2020 Data(H)'!$C$1:$CZ$426,142,FALSE)</f>
        <v>#N/A</v>
      </c>
      <c r="F146" s="281">
        <v>0</v>
      </c>
      <c r="G146" s="590">
        <f>IF(F146&gt;F140,"Error: Please review components of current liabilities above. Account number 383&gt;633",)</f>
        <v>0</v>
      </c>
      <c r="H146" s="591"/>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08">
        <v>349</v>
      </c>
      <c r="B147" s="4" t="s">
        <v>62</v>
      </c>
      <c r="C147" s="4" t="s">
        <v>883</v>
      </c>
      <c r="D147" s="107" t="s">
        <v>153</v>
      </c>
      <c r="E147" s="531" t="e">
        <f>HLOOKUP($D$2,'2020 Data(H)'!$C$1:$CZ$426,113,FALSE)</f>
        <v>#N/A</v>
      </c>
      <c r="F147" s="281">
        <v>0</v>
      </c>
      <c r="G147" s="571"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08">
        <v>375</v>
      </c>
      <c r="B148" s="4" t="s">
        <v>62</v>
      </c>
      <c r="C148" s="4" t="s">
        <v>883</v>
      </c>
      <c r="D148" s="549" t="s">
        <v>889</v>
      </c>
      <c r="E148" s="531" t="e">
        <f>HLOOKUP($D$2,'2020 Data(H)'!$C$1:$CZ$426,134,FALSE)</f>
        <v>#N/A</v>
      </c>
      <c r="F148" s="281">
        <v>0</v>
      </c>
      <c r="G148" s="581"/>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08">
        <v>83</v>
      </c>
      <c r="B149" s="4" t="s">
        <v>61</v>
      </c>
      <c r="C149" s="4" t="s">
        <v>883</v>
      </c>
      <c r="D149" s="107" t="s">
        <v>154</v>
      </c>
      <c r="E149" s="531" t="e">
        <f>HLOOKUP($D$2,'2020 Data(H)'!$C$1:$CZ$426,47,FALSE)</f>
        <v>#N/A</v>
      </c>
      <c r="F149" s="281">
        <v>0</v>
      </c>
      <c r="G149" s="571">
        <f>IF(F138-F147-F149=0,,"Error: Total assets less total liabilities do not equal total net assets.  Account numbers 381-349-83=0  The amount of the formula is in the cell to the right")</f>
        <v>0</v>
      </c>
      <c r="H149" s="574">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08"/>
      <c r="B150" s="705" t="s">
        <v>155</v>
      </c>
      <c r="C150" s="706"/>
      <c r="D150" s="681"/>
      <c r="E150" s="681"/>
      <c r="F150" s="701"/>
      <c r="G150" s="702"/>
      <c r="H150" s="585"/>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08">
        <v>90</v>
      </c>
      <c r="B151" s="4" t="s">
        <v>63</v>
      </c>
      <c r="C151" s="4" t="s">
        <v>890</v>
      </c>
      <c r="D151" s="24" t="s">
        <v>891</v>
      </c>
      <c r="E151" s="531" t="e">
        <f>HLOOKUP($D$2,'2020 Data(H)'!$C$1:$CZ$426,52,FALSE)</f>
        <v>#N/A</v>
      </c>
      <c r="F151" s="281">
        <v>0</v>
      </c>
      <c r="G151" s="571">
        <f>IF(F151&lt;0,"Note: Number is normally positive.",)</f>
        <v>0</v>
      </c>
      <c r="H151" s="592"/>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08">
        <v>91</v>
      </c>
      <c r="B152" s="4" t="s">
        <v>58</v>
      </c>
      <c r="C152" s="4" t="s">
        <v>890</v>
      </c>
      <c r="D152" s="24" t="s">
        <v>892</v>
      </c>
      <c r="E152" s="531" t="e">
        <f>HLOOKUP($D$2,'2020 Data(H)'!$C$1:$CZ$426,53,FALSE)</f>
        <v>#N/A</v>
      </c>
      <c r="F152" s="281">
        <v>0</v>
      </c>
      <c r="G152" s="571">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08">
        <v>581</v>
      </c>
      <c r="B153" s="533" t="s">
        <v>346</v>
      </c>
      <c r="C153" s="533" t="s">
        <v>890</v>
      </c>
      <c r="D153" s="664" t="s">
        <v>893</v>
      </c>
      <c r="E153" s="531" t="e">
        <f>HLOOKUP($D$2,'2020 Data(H)'!$C$1:$CZ$426,231,FALSE)</f>
        <v>#N/A</v>
      </c>
      <c r="F153" s="281">
        <v>0</v>
      </c>
      <c r="G153" s="571"/>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08">
        <v>511</v>
      </c>
      <c r="B154" s="4" t="s">
        <v>58</v>
      </c>
      <c r="C154" s="4" t="s">
        <v>890</v>
      </c>
      <c r="D154" s="25" t="s">
        <v>156</v>
      </c>
      <c r="E154" s="531" t="e">
        <f>HLOOKUP($D$2,'2020 Data(H)'!$C$1:$CZ$426,161,FALSE)</f>
        <v>#N/A</v>
      </c>
      <c r="F154" s="281">
        <v>0</v>
      </c>
      <c r="G154" s="571">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291">
        <v>657</v>
      </c>
      <c r="B155" s="665" t="s">
        <v>58</v>
      </c>
      <c r="C155" s="665" t="s">
        <v>890</v>
      </c>
      <c r="D155" s="322" t="s">
        <v>894</v>
      </c>
      <c r="E155" s="531" t="e">
        <f>HLOOKUP($D$2,'2020 Data(H)'!$C$1:$CZ$426,310,FALSE)</f>
        <v>#N/A</v>
      </c>
      <c r="F155" s="281">
        <v>0</v>
      </c>
      <c r="G155" s="593">
        <f>IF((F151+F152+F154)&gt;F155,"Error: Please review components of current assets above.  Account numbers (90+91+511)&gt;657",)</f>
        <v>0</v>
      </c>
      <c r="H155" s="17"/>
      <c r="I155" s="79"/>
      <c r="Z155" s="291"/>
      <c r="AA155" s="291"/>
      <c r="AB155" s="291"/>
      <c r="AC155" s="291"/>
      <c r="AD155" s="291"/>
      <c r="AE155" s="291"/>
      <c r="AF155" s="291"/>
      <c r="AG155" s="291"/>
      <c r="AH155" s="291"/>
      <c r="AI155" s="291"/>
      <c r="AJ155" s="291"/>
      <c r="AK155" s="291"/>
      <c r="AL155" s="291"/>
      <c r="AM155" s="291"/>
      <c r="AN155" s="291"/>
      <c r="AO155" s="291"/>
      <c r="AP155" s="291"/>
      <c r="AQ155" s="291"/>
      <c r="AR155" s="291"/>
    </row>
    <row r="156" spans="1:44" ht="70.5" hidden="1" customHeight="1" x14ac:dyDescent="0.3">
      <c r="A156" s="291">
        <v>658</v>
      </c>
      <c r="B156" s="665" t="s">
        <v>58</v>
      </c>
      <c r="C156" s="665" t="s">
        <v>890</v>
      </c>
      <c r="D156" s="293" t="s">
        <v>530</v>
      </c>
      <c r="E156" s="531" t="e">
        <f>HLOOKUP($D$2,'2020 Data(H)'!$C$1:$CZ$426,311,FALSE)</f>
        <v>#N/A</v>
      </c>
      <c r="F156" s="281">
        <v>0</v>
      </c>
      <c r="G156" s="571"/>
      <c r="H156" s="17"/>
      <c r="I156" s="79"/>
      <c r="Z156" s="291"/>
      <c r="AA156" s="291"/>
      <c r="AB156" s="291"/>
      <c r="AC156" s="291"/>
      <c r="AD156" s="291"/>
      <c r="AE156" s="291"/>
      <c r="AF156" s="291"/>
      <c r="AG156" s="291"/>
      <c r="AH156" s="291"/>
      <c r="AI156" s="291"/>
      <c r="AJ156" s="291"/>
      <c r="AK156" s="291"/>
      <c r="AL156" s="291"/>
      <c r="AM156" s="291"/>
      <c r="AN156" s="291"/>
      <c r="AO156" s="291"/>
      <c r="AP156" s="291"/>
      <c r="AQ156" s="291"/>
      <c r="AR156" s="291"/>
    </row>
    <row r="157" spans="1:44" ht="50.25" hidden="1" customHeight="1" x14ac:dyDescent="0.3">
      <c r="A157" s="108">
        <v>382</v>
      </c>
      <c r="B157" s="4" t="s">
        <v>60</v>
      </c>
      <c r="C157" s="4" t="s">
        <v>890</v>
      </c>
      <c r="D157" s="106" t="s">
        <v>130</v>
      </c>
      <c r="E157" s="531" t="e">
        <f>HLOOKUP($D$2,'2020 Data(H)'!$C$1:$CZ$426,141,FALSE)</f>
        <v>#N/A</v>
      </c>
      <c r="F157" s="281">
        <v>0</v>
      </c>
      <c r="G157" s="593">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08">
        <v>360</v>
      </c>
      <c r="B158" s="4" t="s">
        <v>56</v>
      </c>
      <c r="C158" s="4" t="s">
        <v>890</v>
      </c>
      <c r="D158" s="107" t="s">
        <v>157</v>
      </c>
      <c r="E158" s="531" t="e">
        <f>HLOOKUP($D$2,'2020 Data(H)'!$C$1:$CZ$426,121,FALSE)</f>
        <v>#N/A</v>
      </c>
      <c r="F158" s="281">
        <v>0</v>
      </c>
      <c r="G158" s="571"/>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08">
        <v>580</v>
      </c>
      <c r="B159" s="533" t="s">
        <v>346</v>
      </c>
      <c r="C159" s="533" t="s">
        <v>890</v>
      </c>
      <c r="D159" s="664" t="s">
        <v>895</v>
      </c>
      <c r="E159" s="531" t="e">
        <f>HLOOKUP($D$2,'2020 Data(H)'!$C$1:$CZ$426,230,FALSE)</f>
        <v>#N/A</v>
      </c>
      <c r="F159" s="281">
        <v>0</v>
      </c>
      <c r="G159" s="571"/>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292">
        <v>639</v>
      </c>
      <c r="B160" s="665" t="s">
        <v>528</v>
      </c>
      <c r="C160" s="665" t="s">
        <v>890</v>
      </c>
      <c r="D160" s="322" t="s">
        <v>973</v>
      </c>
      <c r="E160" s="531" t="e">
        <f>HLOOKUP($D$2,'2020 Data(H)'!$C$1:$CZ$426,298,FALSE)</f>
        <v>#N/A</v>
      </c>
      <c r="F160" s="281">
        <v>0</v>
      </c>
      <c r="G160" s="588" t="str">
        <f>IF(F160&gt;=(F161+F162+F163+F164+F165+F166),"","Account 639 is less than the total sum of accounts 640 through 644 + 384")</f>
        <v/>
      </c>
      <c r="H160" s="594">
        <f>F160-(F161+F162+F163+F164+F165+F166)</f>
        <v>0</v>
      </c>
      <c r="I160" s="576"/>
      <c r="Z160" s="292"/>
      <c r="AA160" s="292"/>
      <c r="AB160" s="292"/>
      <c r="AC160" s="292"/>
      <c r="AD160" s="292"/>
      <c r="AE160" s="292"/>
      <c r="AF160" s="292"/>
      <c r="AG160" s="292"/>
      <c r="AH160" s="292"/>
      <c r="AI160" s="292"/>
      <c r="AJ160" s="292"/>
      <c r="AK160" s="292"/>
      <c r="AL160" s="292"/>
      <c r="AM160" s="292"/>
      <c r="AN160" s="292"/>
      <c r="AO160" s="292"/>
      <c r="AP160" s="292"/>
      <c r="AQ160" s="292"/>
      <c r="AR160" s="292"/>
    </row>
    <row r="161" spans="1:44" ht="124.5" hidden="1" customHeight="1" x14ac:dyDescent="0.3">
      <c r="A161" s="291">
        <v>640</v>
      </c>
      <c r="B161" s="666" t="s">
        <v>439</v>
      </c>
      <c r="C161" s="665" t="s">
        <v>890</v>
      </c>
      <c r="D161" s="322" t="s">
        <v>974</v>
      </c>
      <c r="E161" s="531" t="e">
        <f>HLOOKUP($D$2,'2020 Data(H)'!$C$1:$CZ$426,299,FALSE)</f>
        <v>#N/A</v>
      </c>
      <c r="F161" s="281">
        <v>0</v>
      </c>
      <c r="G161" s="593">
        <f>IF(F161&gt;F160,"Error: Please review components of current liabilities above. Account numbers 640&gt;639",)</f>
        <v>0</v>
      </c>
      <c r="H161" s="576"/>
      <c r="I161" s="594"/>
      <c r="Z161" s="291"/>
      <c r="AA161" s="291"/>
      <c r="AB161" s="291"/>
      <c r="AC161" s="291"/>
      <c r="AD161" s="291"/>
      <c r="AE161" s="291"/>
      <c r="AF161" s="291"/>
      <c r="AG161" s="291"/>
      <c r="AH161" s="291"/>
      <c r="AI161" s="291"/>
      <c r="AJ161" s="291"/>
      <c r="AK161" s="291"/>
      <c r="AL161" s="291"/>
      <c r="AM161" s="291"/>
      <c r="AN161" s="291"/>
      <c r="AO161" s="291"/>
      <c r="AP161" s="291"/>
      <c r="AQ161" s="291"/>
      <c r="AR161" s="291"/>
    </row>
    <row r="162" spans="1:44" ht="133.5" hidden="1" customHeight="1" x14ac:dyDescent="0.3">
      <c r="A162" s="291">
        <v>641</v>
      </c>
      <c r="B162" s="666" t="s">
        <v>439</v>
      </c>
      <c r="C162" s="665" t="s">
        <v>890</v>
      </c>
      <c r="D162" s="322" t="s">
        <v>975</v>
      </c>
      <c r="E162" s="531" t="e">
        <f>HLOOKUP($D$2,'2020 Data(H)'!$C$1:$CZ$426,300,FALSE)</f>
        <v>#N/A</v>
      </c>
      <c r="F162" s="281">
        <v>0</v>
      </c>
      <c r="G162" s="593">
        <f>IF(F162&gt;F160,"Error: Please review components of current liabilities above. Account numbers 641&gt;639",)</f>
        <v>0</v>
      </c>
      <c r="H162" s="576"/>
      <c r="I162" s="576"/>
      <c r="Z162" s="291"/>
      <c r="AA162" s="291"/>
      <c r="AB162" s="291"/>
      <c r="AC162" s="291"/>
      <c r="AD162" s="291"/>
      <c r="AE162" s="291"/>
      <c r="AF162" s="291"/>
      <c r="AG162" s="291"/>
      <c r="AH162" s="291"/>
      <c r="AI162" s="291"/>
      <c r="AJ162" s="291"/>
      <c r="AK162" s="291"/>
      <c r="AL162" s="291"/>
      <c r="AM162" s="291"/>
      <c r="AN162" s="291"/>
      <c r="AO162" s="291"/>
      <c r="AP162" s="291"/>
      <c r="AQ162" s="291"/>
      <c r="AR162" s="291"/>
    </row>
    <row r="163" spans="1:44" ht="118.5" hidden="1" customHeight="1" x14ac:dyDescent="0.3">
      <c r="A163" s="291">
        <v>642</v>
      </c>
      <c r="B163" s="666" t="s">
        <v>439</v>
      </c>
      <c r="C163" s="665" t="s">
        <v>890</v>
      </c>
      <c r="D163" s="322" t="s">
        <v>976</v>
      </c>
      <c r="E163" s="531" t="e">
        <f>HLOOKUP($D$2,'2020 Data(H)'!$C$1:$CZ$426,301,FALSE)</f>
        <v>#N/A</v>
      </c>
      <c r="F163" s="281">
        <v>0</v>
      </c>
      <c r="G163" s="593">
        <f>IF(F163&gt;F160,"Error: Please review components of current liabilities above. Account numbers  642&gt;639",)</f>
        <v>0</v>
      </c>
      <c r="H163" s="576"/>
      <c r="I163" s="576"/>
      <c r="Z163" s="291"/>
      <c r="AA163" s="291"/>
      <c r="AB163" s="291"/>
      <c r="AC163" s="291"/>
      <c r="AD163" s="291"/>
      <c r="AE163" s="291"/>
      <c r="AF163" s="291"/>
      <c r="AG163" s="291"/>
      <c r="AH163" s="291"/>
      <c r="AI163" s="291"/>
      <c r="AJ163" s="291"/>
      <c r="AK163" s="291"/>
      <c r="AL163" s="291"/>
      <c r="AM163" s="291"/>
      <c r="AN163" s="291"/>
      <c r="AO163" s="291"/>
      <c r="AP163" s="291"/>
      <c r="AQ163" s="291"/>
      <c r="AR163" s="291"/>
    </row>
    <row r="164" spans="1:44" ht="81.75" hidden="1" customHeight="1" x14ac:dyDescent="0.3">
      <c r="A164" s="291">
        <v>643</v>
      </c>
      <c r="B164" s="666" t="s">
        <v>439</v>
      </c>
      <c r="C164" s="665" t="s">
        <v>890</v>
      </c>
      <c r="D164" s="322" t="s">
        <v>977</v>
      </c>
      <c r="E164" s="531" t="e">
        <f>HLOOKUP($D$2,'2020 Data(H)'!$C$1:$CZ$426,302,FALSE)</f>
        <v>#N/A</v>
      </c>
      <c r="F164" s="281">
        <v>0</v>
      </c>
      <c r="G164" s="593">
        <f>IF(F164&gt;F160,"Error: Please review components of current liabilities above. Account numbers 643&gt;639",)</f>
        <v>0</v>
      </c>
      <c r="H164" s="576"/>
      <c r="I164" s="576"/>
      <c r="Z164" s="291"/>
      <c r="AA164" s="291"/>
      <c r="AB164" s="291"/>
      <c r="AC164" s="291"/>
      <c r="AD164" s="291"/>
      <c r="AE164" s="291"/>
      <c r="AF164" s="291"/>
      <c r="AG164" s="291"/>
      <c r="AH164" s="291"/>
      <c r="AI164" s="291"/>
      <c r="AJ164" s="291"/>
      <c r="AK164" s="291"/>
      <c r="AL164" s="291"/>
      <c r="AM164" s="291"/>
      <c r="AN164" s="291"/>
      <c r="AO164" s="291"/>
      <c r="AP164" s="291"/>
      <c r="AQ164" s="291"/>
      <c r="AR164" s="291"/>
    </row>
    <row r="165" spans="1:44" ht="108" hidden="1" customHeight="1" x14ac:dyDescent="0.3">
      <c r="A165" s="291">
        <v>644</v>
      </c>
      <c r="B165" s="666" t="s">
        <v>439</v>
      </c>
      <c r="C165" s="665" t="s">
        <v>890</v>
      </c>
      <c r="D165" s="322" t="s">
        <v>978</v>
      </c>
      <c r="E165" s="531" t="e">
        <f>HLOOKUP($D$2,'2020 Data(H)'!$C$1:$CZ$426,303,FALSE)</f>
        <v>#N/A</v>
      </c>
      <c r="F165" s="281">
        <v>0</v>
      </c>
      <c r="G165" s="593">
        <f>IF(F165&gt;F160,"Error: Please review components of current liabilities above. Account number 644&gt;639",)</f>
        <v>0</v>
      </c>
      <c r="H165" s="576"/>
      <c r="I165" s="576"/>
      <c r="Z165" s="291"/>
      <c r="AA165" s="291"/>
      <c r="AB165" s="291"/>
      <c r="AC165" s="291"/>
      <c r="AD165" s="291"/>
      <c r="AE165" s="291"/>
      <c r="AF165" s="291"/>
      <c r="AG165" s="291"/>
      <c r="AH165" s="291"/>
      <c r="AI165" s="291"/>
      <c r="AJ165" s="291"/>
      <c r="AK165" s="291"/>
      <c r="AL165" s="291"/>
      <c r="AM165" s="291"/>
      <c r="AN165" s="291"/>
      <c r="AO165" s="291"/>
      <c r="AP165" s="291"/>
      <c r="AQ165" s="291"/>
      <c r="AR165" s="291"/>
    </row>
    <row r="166" spans="1:44" ht="99.75" hidden="1" customHeight="1" x14ac:dyDescent="0.3">
      <c r="A166" s="108">
        <v>384</v>
      </c>
      <c r="B166" s="4" t="s">
        <v>63</v>
      </c>
      <c r="C166" s="4" t="s">
        <v>890</v>
      </c>
      <c r="D166" s="29" t="s">
        <v>979</v>
      </c>
      <c r="E166" s="531" t="e">
        <f>HLOOKUP($D$2,'2020 Data(H)'!$C$1:$CZ$426,143,FALSE)</f>
        <v>#N/A</v>
      </c>
      <c r="F166" s="579">
        <v>0</v>
      </c>
      <c r="G166" s="590">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08">
        <v>361</v>
      </c>
      <c r="B167" s="4" t="s">
        <v>56</v>
      </c>
      <c r="C167" s="4" t="s">
        <v>890</v>
      </c>
      <c r="D167" s="549" t="s">
        <v>896</v>
      </c>
      <c r="E167" s="531" t="e">
        <f>HLOOKUP($D$2,'2020 Data(H)'!$C$1:$CZ$426,122,FALSE)</f>
        <v>#N/A</v>
      </c>
      <c r="F167" s="281">
        <v>0</v>
      </c>
      <c r="G167" s="581"/>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08">
        <v>362</v>
      </c>
      <c r="B168" s="4" t="s">
        <v>56</v>
      </c>
      <c r="C168" s="4" t="s">
        <v>890</v>
      </c>
      <c r="D168" s="107" t="s">
        <v>158</v>
      </c>
      <c r="E168" s="531" t="e">
        <f>HLOOKUP($D$2,'2020 Data(H)'!$C$1:$CZ$426,123,FALSE)</f>
        <v>#N/A</v>
      </c>
      <c r="F168" s="281">
        <v>0</v>
      </c>
      <c r="G168" s="571">
        <f>IF(H168=0,,"Error: Total assets less total liabilities do not equal total net position. Account numbers 382-360-362=0  The amount of the formula is in the cell to the right")</f>
        <v>0</v>
      </c>
      <c r="H168" s="574">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08"/>
      <c r="B169" s="694" t="s">
        <v>182</v>
      </c>
      <c r="C169" s="695"/>
      <c r="D169" s="707"/>
      <c r="E169" s="688"/>
      <c r="F169" s="693"/>
      <c r="G169" s="693"/>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075" t="s">
        <v>995</v>
      </c>
      <c r="C170" s="1075"/>
      <c r="D170" s="1075"/>
      <c r="E170" s="681"/>
      <c r="F170" s="702"/>
      <c r="G170" s="702"/>
      <c r="H170" s="17"/>
      <c r="I170" s="79"/>
      <c r="N170" s="282"/>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897</v>
      </c>
      <c r="D171" s="24" t="s">
        <v>898</v>
      </c>
      <c r="E171" s="531" t="e">
        <f>HLOOKUP($D$2,'2020 Data(H)'!$C$1:$CZ$426,50,FALSE)</f>
        <v>#N/A</v>
      </c>
      <c r="F171" s="281">
        <v>0</v>
      </c>
      <c r="G171" s="581"/>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897</v>
      </c>
      <c r="D172" s="29" t="s">
        <v>159</v>
      </c>
      <c r="E172" s="531" t="e">
        <f>HLOOKUP($D$2,'2020 Data(H)'!$C$1:$CZ$426,48,FALSE)</f>
        <v>#N/A</v>
      </c>
      <c r="F172" s="281">
        <v>0</v>
      </c>
      <c r="G172" s="571">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897</v>
      </c>
      <c r="D173" s="29" t="s">
        <v>160</v>
      </c>
      <c r="E173" s="531" t="e">
        <f>HLOOKUP($D$2,'2020 Data(H)'!$C$1:$CZ$426,36,FALSE)</f>
        <v>#N/A</v>
      </c>
      <c r="F173" s="281">
        <v>0</v>
      </c>
      <c r="G173" s="571">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897</v>
      </c>
      <c r="D174" s="29" t="s">
        <v>161</v>
      </c>
      <c r="E174" s="531" t="e">
        <f>HLOOKUP($D$2,'2020 Data(H)'!$C$1:$CZ$426,49,FALSE)</f>
        <v>#N/A</v>
      </c>
      <c r="F174" s="281">
        <v>0</v>
      </c>
      <c r="G174" s="571">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897</v>
      </c>
      <c r="D175" s="29" t="s">
        <v>162</v>
      </c>
      <c r="E175" s="531" t="e">
        <f>HLOOKUP($D$2,'2020 Data(H)'!$C$1:$CZ$426,51,FALSE)</f>
        <v>#N/A</v>
      </c>
      <c r="F175" s="281">
        <v>0</v>
      </c>
      <c r="G175" s="571">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897</v>
      </c>
      <c r="D176" s="24" t="s">
        <v>899</v>
      </c>
      <c r="E176" s="531" t="e">
        <f>HLOOKUP($D$2,'2020 Data(H)'!$C$1:$CZ$426,114,FALSE)</f>
        <v>#N/A</v>
      </c>
      <c r="F176" s="281">
        <v>0</v>
      </c>
      <c r="G176" s="581"/>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897</v>
      </c>
      <c r="D177" s="24" t="s">
        <v>900</v>
      </c>
      <c r="E177" s="531" t="e">
        <f>HLOOKUP($D$2,'2020 Data(H)'!$C$1:$CZ$426,115,FALSE)</f>
        <v>#N/A</v>
      </c>
      <c r="F177" s="281">
        <v>0</v>
      </c>
      <c r="G177" s="571">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897</v>
      </c>
      <c r="D178" s="24" t="s">
        <v>901</v>
      </c>
      <c r="E178" s="531" t="e">
        <f>HLOOKUP($D$2,'2020 Data(H)'!$C$1:$CZ$426,72,FALSE)</f>
        <v>#N/A</v>
      </c>
      <c r="F178" s="281">
        <v>0</v>
      </c>
      <c r="G178" s="571">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897</v>
      </c>
      <c r="D179" s="29" t="s">
        <v>753</v>
      </c>
      <c r="E179" s="531" t="e">
        <f>HLOOKUP($D$2,'2020 Data(H)'!$C$1:$CZ$426,116,FALSE)</f>
        <v>#N/A</v>
      </c>
      <c r="F179" s="281">
        <v>0</v>
      </c>
      <c r="G179" s="571">
        <f>IF(F179&lt;0,"Error: Enter as positive.",)</f>
        <v>0</v>
      </c>
      <c r="H179" s="550"/>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669" t="s">
        <v>608</v>
      </c>
      <c r="C180" s="669" t="s">
        <v>897</v>
      </c>
      <c r="D180" s="296" t="s">
        <v>635</v>
      </c>
      <c r="E180" s="531" t="s">
        <v>609</v>
      </c>
      <c r="F180" s="281">
        <v>0</v>
      </c>
      <c r="G180" s="571">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897</v>
      </c>
      <c r="D181" s="29" t="s">
        <v>143</v>
      </c>
      <c r="E181" s="531" t="e">
        <f>HLOOKUP($D$2,'2020 Data(H)'!$C$1:$CZ$426,117,FALSE)</f>
        <v>#N/A</v>
      </c>
      <c r="F181" s="281">
        <v>0</v>
      </c>
      <c r="G181" s="571">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897</v>
      </c>
      <c r="D182" s="549" t="s">
        <v>902</v>
      </c>
      <c r="E182" s="531" t="e">
        <f>HLOOKUP($D$2,'2020 Data(H)'!$C$1:$CZ$426,37,FALSE)</f>
        <v>#N/A</v>
      </c>
      <c r="F182" s="279">
        <v>0</v>
      </c>
      <c r="G182" s="571">
        <f>IF(H182=0,,"Error: Total revenues less total expenses do not equal total change in net position. Account number 84-85+350-351+191+352-353-50=0  The amount of the formula is in the cell to the right")</f>
        <v>0</v>
      </c>
      <c r="H182" s="574">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897</v>
      </c>
      <c r="D183" s="549" t="s">
        <v>903</v>
      </c>
      <c r="E183" s="531" t="e">
        <f>HLOOKUP($D$2,'2020 Data(H)'!$C$1:$CZ$426,136,FALSE)</f>
        <v>#N/A</v>
      </c>
      <c r="F183" s="279">
        <v>0</v>
      </c>
      <c r="G183" s="571" t="e">
        <f>IF(F149-F182-F183=E149,,"Error: Beginning Balance does not agree with our records.  Acct #s (83-50-377)=prior year 83 The amount of the formula is in the cell to the right")</f>
        <v>#N/A</v>
      </c>
      <c r="H183" s="574"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533" t="s">
        <v>59</v>
      </c>
      <c r="C184" s="533" t="s">
        <v>897</v>
      </c>
      <c r="D184" s="530" t="s">
        <v>904</v>
      </c>
      <c r="E184" s="59" t="e">
        <f>HLOOKUP($D$2,'2020 Data(H)'!$C$1:$CZ$426,250,FALSE)</f>
        <v>#N/A</v>
      </c>
      <c r="F184" s="281"/>
      <c r="G184" s="571"/>
      <c r="H184" s="572"/>
      <c r="I184" s="573"/>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533" t="s">
        <v>59</v>
      </c>
      <c r="C185" s="533" t="s">
        <v>897</v>
      </c>
      <c r="D185" s="530" t="s">
        <v>905</v>
      </c>
      <c r="E185" s="531" t="e">
        <f>HLOOKUP($D$2,'2020 Data(H)'!$C$1:$CZ$426,251,FALSE)</f>
        <v>#N/A</v>
      </c>
      <c r="F185" s="281"/>
      <c r="G185" s="571"/>
      <c r="H185" s="572"/>
      <c r="I185" s="573"/>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08"/>
      <c r="B186" s="705" t="s">
        <v>6</v>
      </c>
      <c r="C186" s="706"/>
      <c r="D186" s="681"/>
      <c r="E186" s="681"/>
      <c r="F186" s="701"/>
      <c r="G186" s="702"/>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08">
        <v>97</v>
      </c>
      <c r="B187" s="4" t="s">
        <v>68</v>
      </c>
      <c r="C187" s="4" t="s">
        <v>906</v>
      </c>
      <c r="D187" s="29" t="s">
        <v>163</v>
      </c>
      <c r="E187" s="531" t="e">
        <f>HLOOKUP($D$2,'2020 Data(H)'!$C$1:$CZ$426,57,FALSE)</f>
        <v>#N/A</v>
      </c>
      <c r="F187" s="279">
        <v>0</v>
      </c>
      <c r="G187" s="581"/>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08">
        <v>93</v>
      </c>
      <c r="B188" s="4" t="s">
        <v>66</v>
      </c>
      <c r="C188" s="4" t="s">
        <v>906</v>
      </c>
      <c r="D188" s="29" t="s">
        <v>159</v>
      </c>
      <c r="E188" s="531" t="e">
        <f>HLOOKUP($D$2,'2020 Data(H)'!$C$1:$CZ$426,55,FALSE)</f>
        <v>#N/A</v>
      </c>
      <c r="F188" s="280">
        <v>0</v>
      </c>
      <c r="G188" s="571">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08">
        <v>99</v>
      </c>
      <c r="B189" s="4" t="s">
        <v>58</v>
      </c>
      <c r="C189" s="4" t="s">
        <v>906</v>
      </c>
      <c r="D189" s="29" t="s">
        <v>164</v>
      </c>
      <c r="E189" s="531" t="e">
        <f>HLOOKUP($D$2,'2020 Data(H)'!$C$1:$CZ$426,59,FALSE)</f>
        <v>#N/A</v>
      </c>
      <c r="F189" s="280">
        <v>0</v>
      </c>
      <c r="G189" s="571">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08">
        <v>52</v>
      </c>
      <c r="B190" s="4" t="s">
        <v>58</v>
      </c>
      <c r="C190" s="4" t="s">
        <v>906</v>
      </c>
      <c r="D190" s="29" t="s">
        <v>160</v>
      </c>
      <c r="E190" s="531" t="e">
        <f>HLOOKUP($D$2,'2020 Data(H)'!$C$1:$CZ$426,39,FALSE)</f>
        <v>#N/A</v>
      </c>
      <c r="F190" s="280">
        <v>0</v>
      </c>
      <c r="G190" s="571">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08">
        <v>94</v>
      </c>
      <c r="B191" s="4" t="s">
        <v>66</v>
      </c>
      <c r="C191" s="4" t="s">
        <v>906</v>
      </c>
      <c r="D191" s="29" t="s">
        <v>161</v>
      </c>
      <c r="E191" s="531" t="e">
        <f>HLOOKUP($D$2,'2020 Data(H)'!$C$1:$CZ$426,56,FALSE)</f>
        <v>#N/A</v>
      </c>
      <c r="F191" s="280">
        <v>0</v>
      </c>
      <c r="G191" s="571">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08">
        <v>98</v>
      </c>
      <c r="B192" s="4" t="s">
        <v>66</v>
      </c>
      <c r="C192" s="4" t="s">
        <v>906</v>
      </c>
      <c r="D192" s="29" t="s">
        <v>162</v>
      </c>
      <c r="E192" s="531" t="e">
        <f>HLOOKUP($D$2,'2020 Data(H)'!$C$1:$CZ$426,58,FALSE)</f>
        <v>#N/A</v>
      </c>
      <c r="F192" s="280">
        <v>0</v>
      </c>
      <c r="G192" s="571">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08">
        <v>363</v>
      </c>
      <c r="B193" s="4" t="s">
        <v>56</v>
      </c>
      <c r="C193" s="4" t="s">
        <v>906</v>
      </c>
      <c r="D193" s="24" t="s">
        <v>907</v>
      </c>
      <c r="E193" s="531" t="e">
        <f>HLOOKUP($D$2,'2020 Data(H)'!$C$1:$CZ$426,124,FALSE)</f>
        <v>#N/A</v>
      </c>
      <c r="F193" s="280">
        <v>0</v>
      </c>
      <c r="G193" s="571">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08">
        <v>364</v>
      </c>
      <c r="B194" s="4" t="s">
        <v>56</v>
      </c>
      <c r="C194" s="4" t="s">
        <v>906</v>
      </c>
      <c r="D194" s="24" t="s">
        <v>908</v>
      </c>
      <c r="E194" s="531" t="e">
        <f>HLOOKUP($D$2,'2020 Data(H)'!$C$1:$CZ$426,125,FALSE)</f>
        <v>#N/A</v>
      </c>
      <c r="F194" s="280">
        <v>0</v>
      </c>
      <c r="G194" s="571">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08">
        <v>192</v>
      </c>
      <c r="B195" s="4" t="s">
        <v>58</v>
      </c>
      <c r="C195" s="4" t="s">
        <v>906</v>
      </c>
      <c r="D195" s="24" t="s">
        <v>909</v>
      </c>
      <c r="E195" s="531" t="e">
        <f>HLOOKUP($D$2,'2020 Data(H)'!$C$1:$CZ$426,73,FALSE)</f>
        <v>#N/A</v>
      </c>
      <c r="F195" s="280">
        <v>0</v>
      </c>
      <c r="G195" s="571">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08">
        <v>365</v>
      </c>
      <c r="B196" s="4" t="s">
        <v>66</v>
      </c>
      <c r="C196" s="4" t="s">
        <v>906</v>
      </c>
      <c r="D196" s="24" t="s">
        <v>910</v>
      </c>
      <c r="E196" s="531" t="e">
        <f>HLOOKUP($D$2,'2020 Data(H)'!$C$1:$CZ$426,126,FALSE)</f>
        <v>#N/A</v>
      </c>
      <c r="F196" s="280">
        <v>0</v>
      </c>
      <c r="G196" s="571">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08">
        <v>366</v>
      </c>
      <c r="B197" s="4" t="s">
        <v>66</v>
      </c>
      <c r="C197" s="4" t="s">
        <v>906</v>
      </c>
      <c r="D197" s="24" t="s">
        <v>911</v>
      </c>
      <c r="E197" s="531" t="e">
        <f>HLOOKUP($D$2,'2020 Data(H)'!$C$1:$CZ$426,127,FALSE)</f>
        <v>#N/A</v>
      </c>
      <c r="F197" s="280">
        <v>0</v>
      </c>
      <c r="G197" s="571">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08">
        <v>53</v>
      </c>
      <c r="B198" s="533" t="s">
        <v>66</v>
      </c>
      <c r="C198" s="533" t="s">
        <v>906</v>
      </c>
      <c r="D198" s="549" t="s">
        <v>912</v>
      </c>
      <c r="E198" s="531" t="e">
        <f>HLOOKUP($D$2,'2020 Data(H)'!$C$1:$CZ$426,40,FALSE)</f>
        <v>#N/A</v>
      </c>
      <c r="F198" s="280">
        <v>0</v>
      </c>
      <c r="G198" s="571">
        <f>IF(H198=0,,"Error: Total revenues less total expenses do not equal total change in net position. Account number 93-94+363-364+192+365-366-53=0  The amount of the formula is in the cell to the right")</f>
        <v>0</v>
      </c>
      <c r="H198" s="574">
        <f>+F188-F191+F193-F194+F195+F196-F197-F198</f>
        <v>0</v>
      </c>
      <c r="I198" s="79"/>
      <c r="N198" s="282"/>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08">
        <v>378</v>
      </c>
      <c r="B199" s="5" t="s">
        <v>56</v>
      </c>
      <c r="C199" s="4" t="s">
        <v>906</v>
      </c>
      <c r="D199" s="549" t="s">
        <v>913</v>
      </c>
      <c r="E199" s="531" t="e">
        <f>HLOOKUP($D$2,'2020 Data(H)'!$C$1:$CZ$426,137,FALSE)</f>
        <v>#N/A</v>
      </c>
      <c r="F199" s="279">
        <v>0</v>
      </c>
      <c r="G199" s="571" t="e">
        <f>IF(F168-F198-F199=E168,,"Error: Beginning Balance does not agree with our records.  Acct #s (362-53-378)=prior year 362  The amount of the formula is in the cell to the right")</f>
        <v>#N/A</v>
      </c>
      <c r="H199" s="574" t="e">
        <f>+F168-F198-F199-E168</f>
        <v>#N/A</v>
      </c>
      <c r="I199" s="79"/>
      <c r="N199" s="282"/>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08"/>
      <c r="B200" s="705" t="s">
        <v>511</v>
      </c>
      <c r="C200" s="705"/>
      <c r="D200" s="708"/>
      <c r="E200" s="688"/>
      <c r="F200" s="709"/>
      <c r="G200" s="690"/>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710" t="s">
        <v>914</v>
      </c>
      <c r="C201" s="706"/>
      <c r="D201" s="681"/>
      <c r="E201" s="681"/>
      <c r="F201" s="711"/>
      <c r="G201" s="702"/>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706" t="s">
        <v>915</v>
      </c>
      <c r="C202" s="706"/>
      <c r="D202" s="697"/>
      <c r="E202" s="679"/>
      <c r="F202" s="712"/>
      <c r="G202" s="704"/>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706" t="s">
        <v>23</v>
      </c>
      <c r="C203" s="706"/>
      <c r="D203" s="697"/>
      <c r="E203" s="679"/>
      <c r="F203" s="712"/>
      <c r="G203" s="704"/>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315</v>
      </c>
      <c r="C204" s="670" t="s">
        <v>916</v>
      </c>
      <c r="D204" s="24" t="s">
        <v>917</v>
      </c>
      <c r="E204" s="531" t="e">
        <f>HLOOKUP($D$2,'2020 Data(H)'!$C$1:$CZ$426,38,FALSE)</f>
        <v>#N/A</v>
      </c>
      <c r="F204" s="280">
        <v>0</v>
      </c>
      <c r="G204" s="581"/>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670" t="s">
        <v>916</v>
      </c>
      <c r="D205" s="24" t="s">
        <v>918</v>
      </c>
      <c r="E205" s="531" t="e">
        <f>HLOOKUP($D$2,'2020 Data(H)'!$C$1:$CZ$426,98,FALSE)</f>
        <v>#N/A</v>
      </c>
      <c r="F205" s="280">
        <v>0</v>
      </c>
      <c r="G205" s="571">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315</v>
      </c>
      <c r="C206" s="670" t="s">
        <v>916</v>
      </c>
      <c r="D206" s="24" t="s">
        <v>919</v>
      </c>
      <c r="E206" s="531" t="e">
        <f>HLOOKUP($D$2,'2020 Data(H)'!$C$1:$CZ$426,97,FALSE)</f>
        <v>#N/A</v>
      </c>
      <c r="F206" s="280">
        <v>0</v>
      </c>
      <c r="G206" s="571">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08"/>
      <c r="B207" s="705" t="s">
        <v>6</v>
      </c>
      <c r="C207" s="706"/>
      <c r="D207" s="706"/>
      <c r="E207" s="681"/>
      <c r="F207" s="711"/>
      <c r="G207" s="713"/>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08">
        <v>55</v>
      </c>
      <c r="B208" s="4" t="s">
        <v>59</v>
      </c>
      <c r="C208" s="670" t="s">
        <v>920</v>
      </c>
      <c r="D208" s="24" t="s">
        <v>921</v>
      </c>
      <c r="E208" s="531" t="e">
        <f>HLOOKUP($D$2,'2020 Data(H)'!$C$1:$CZ$426,42,FALSE)</f>
        <v>#N/A</v>
      </c>
      <c r="F208" s="280">
        <v>0</v>
      </c>
      <c r="G208" s="581"/>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08">
        <v>101</v>
      </c>
      <c r="B209" s="4" t="s">
        <v>65</v>
      </c>
      <c r="C209" s="670" t="s">
        <v>920</v>
      </c>
      <c r="D209" s="24" t="s">
        <v>922</v>
      </c>
      <c r="E209" s="531" t="e">
        <f>HLOOKUP($D$2,'2020 Data(H)'!$C$1:$CZ$426,61,FALSE)</f>
        <v>#N/A</v>
      </c>
      <c r="F209" s="280">
        <v>0</v>
      </c>
      <c r="G209" s="571">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08">
        <v>100</v>
      </c>
      <c r="B210" s="4" t="s">
        <v>66</v>
      </c>
      <c r="C210" s="670" t="s">
        <v>920</v>
      </c>
      <c r="D210" s="24" t="s">
        <v>919</v>
      </c>
      <c r="E210" s="531" t="e">
        <f>HLOOKUP($D$2,'2020 Data(H)'!$C$1:$CZ$426,60,FALSE)</f>
        <v>#N/A</v>
      </c>
      <c r="F210" s="280">
        <v>0</v>
      </c>
      <c r="G210" s="571">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681" t="s">
        <v>71</v>
      </c>
      <c r="C211" s="697"/>
      <c r="D211" s="681"/>
      <c r="E211" s="681"/>
      <c r="F211" s="714"/>
      <c r="G211" s="700"/>
      <c r="H211" s="17"/>
      <c r="I211" s="79"/>
      <c r="J211" s="437"/>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421"/>
      <c r="C212" s="670" t="s">
        <v>165</v>
      </c>
      <c r="D212" s="24" t="s">
        <v>923</v>
      </c>
      <c r="E212" s="531" t="e">
        <f>HLOOKUP($D$2,'2020 Data(H)'!$C$1:$CZ$426,162,FALSE)</f>
        <v>#N/A</v>
      </c>
      <c r="F212" s="280">
        <v>0</v>
      </c>
      <c r="G212" s="571">
        <f>IF(F212&lt;0,"Error: Enter as positive.",)</f>
        <v>0</v>
      </c>
      <c r="H212" s="17"/>
      <c r="I212" s="79"/>
      <c r="J212" s="437"/>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705" t="s">
        <v>497</v>
      </c>
      <c r="C213" s="706"/>
      <c r="D213" s="708"/>
      <c r="E213" s="715"/>
      <c r="F213" s="714"/>
      <c r="G213" s="700"/>
      <c r="H213" s="572"/>
      <c r="I213" s="573"/>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291">
        <v>656</v>
      </c>
      <c r="B214" s="291"/>
      <c r="C214" s="291"/>
      <c r="D214" s="596" t="s">
        <v>498</v>
      </c>
      <c r="E214" s="531" t="e">
        <f>HLOOKUP($D$2,'2020 Data(H)'!$C$1:$CZ$426,309,FALSE)</f>
        <v>#N/A</v>
      </c>
      <c r="F214" s="280">
        <v>0</v>
      </c>
      <c r="G214" s="571"/>
      <c r="H214" s="17"/>
      <c r="I214" s="79"/>
      <c r="J214" s="437"/>
      <c r="Z214" s="291"/>
      <c r="AA214" s="291"/>
      <c r="AB214" s="291"/>
      <c r="AC214" s="291"/>
      <c r="AD214" s="291"/>
      <c r="AE214" s="291"/>
      <c r="AF214" s="291"/>
      <c r="AG214" s="291"/>
      <c r="AH214" s="291"/>
      <c r="AI214" s="291"/>
      <c r="AJ214" s="291"/>
      <c r="AK214" s="291"/>
      <c r="AL214" s="291"/>
      <c r="AM214" s="291"/>
      <c r="AN214" s="291"/>
      <c r="AO214" s="291"/>
      <c r="AP214" s="291"/>
      <c r="AQ214" s="291"/>
      <c r="AR214" s="291"/>
    </row>
    <row r="215" spans="1:44" hidden="1" x14ac:dyDescent="0.3">
      <c r="A215" s="108"/>
      <c r="B215" s="705" t="s">
        <v>318</v>
      </c>
      <c r="C215" s="706"/>
      <c r="D215" s="708"/>
      <c r="E215" s="715"/>
      <c r="F215" s="714"/>
      <c r="G215" s="700"/>
      <c r="H215" s="572"/>
      <c r="I215" s="573"/>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533" t="s">
        <v>55</v>
      </c>
      <c r="C216" s="533" t="s">
        <v>166</v>
      </c>
      <c r="D216" s="24" t="s">
        <v>924</v>
      </c>
      <c r="E216" s="531" t="e">
        <f>HLOOKUP($D$2,'2020 Data(H)'!$C$1:$CZ$426,185,FALSE)</f>
        <v>#N/A</v>
      </c>
      <c r="F216" s="280">
        <v>0</v>
      </c>
      <c r="G216" s="571" t="str">
        <f>IF(F216&lt;1,"Reminder: Please make sure you have entered all cash and investments from bond/Debt proceeds, if applicable.",)</f>
        <v>Reminder: Please make sure you have entered all cash and investments from bond/Debt proceeds, if applicable.</v>
      </c>
      <c r="H216" s="572"/>
      <c r="I216" s="573"/>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705" t="s">
        <v>29</v>
      </c>
      <c r="C217" s="706"/>
      <c r="D217" s="682"/>
      <c r="E217" s="682"/>
      <c r="F217" s="711"/>
      <c r="G217" s="702"/>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421"/>
      <c r="C218" s="421"/>
      <c r="D218" s="597" t="s">
        <v>2</v>
      </c>
      <c r="E218" s="1"/>
      <c r="F218" s="164"/>
      <c r="G218" s="581"/>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421"/>
      <c r="C219" s="421"/>
      <c r="D219" s="532" t="s">
        <v>925</v>
      </c>
      <c r="E219" s="1"/>
      <c r="F219" s="164"/>
      <c r="G219" s="581"/>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926</v>
      </c>
      <c r="E220" s="531" t="e">
        <f>HLOOKUP($D$2,'2020 Data(H)'!$C$1:$CZ$426,100,FALSE)</f>
        <v>#N/A</v>
      </c>
      <c r="F220" s="280">
        <v>0</v>
      </c>
      <c r="G220" s="581"/>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531" t="e">
        <f>HLOOKUP($D$2,'2020 Data(H)'!$C$1:$CZ$426,133,FALSE)</f>
        <v>#N/A</v>
      </c>
      <c r="F221" s="280">
        <v>0</v>
      </c>
      <c r="G221" s="571">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669" t="s">
        <v>608</v>
      </c>
      <c r="C222" s="669"/>
      <c r="D222" s="598" t="s">
        <v>738</v>
      </c>
      <c r="E222" s="531" t="s">
        <v>609</v>
      </c>
      <c r="F222" s="280">
        <v>0</v>
      </c>
      <c r="G222" s="599" t="str">
        <f>IF(F222="","If this question is not applicable please place a zero in the cell to the left","")</f>
        <v/>
      </c>
      <c r="H222" s="550"/>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669" t="s">
        <v>608</v>
      </c>
      <c r="C223" s="669"/>
      <c r="D223" s="598" t="s">
        <v>735</v>
      </c>
      <c r="E223" s="531" t="s">
        <v>609</v>
      </c>
      <c r="F223" s="280"/>
      <c r="G223" s="571"/>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669" t="s">
        <v>608</v>
      </c>
      <c r="C224" s="669"/>
      <c r="D224" s="598" t="s">
        <v>980</v>
      </c>
      <c r="E224" s="531" t="s">
        <v>636</v>
      </c>
      <c r="F224" s="280"/>
      <c r="G224" s="571"/>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716"/>
      <c r="C225" s="716"/>
      <c r="D225" s="717"/>
      <c r="E225" s="718"/>
      <c r="F225" s="719"/>
      <c r="G225" s="720"/>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421"/>
      <c r="C226" s="421"/>
      <c r="D226" s="600" t="s">
        <v>927</v>
      </c>
      <c r="E226" s="1"/>
      <c r="F226" s="358"/>
      <c r="G226" s="581"/>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421"/>
      <c r="C227" s="421"/>
      <c r="D227" s="24" t="s">
        <v>928</v>
      </c>
      <c r="E227" s="1"/>
      <c r="F227" s="358"/>
      <c r="G227" s="581"/>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533" t="s">
        <v>37</v>
      </c>
      <c r="C228" s="533" t="s">
        <v>174</v>
      </c>
      <c r="D228" s="601" t="s">
        <v>929</v>
      </c>
      <c r="E228" s="531" t="e">
        <f>HLOOKUP($D$2,'2020 Data(H)'!$C$1:$CZ$426,94,FALSE)</f>
        <v>#N/A</v>
      </c>
      <c r="F228" s="271">
        <v>0</v>
      </c>
      <c r="G228" s="581"/>
      <c r="H228" s="17"/>
      <c r="I228" s="573"/>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533" t="s">
        <v>37</v>
      </c>
      <c r="C229" s="533" t="s">
        <v>174</v>
      </c>
      <c r="D229" s="30" t="s">
        <v>7</v>
      </c>
      <c r="E229" s="531" t="e">
        <f>HLOOKUP($D$2,'2020 Data(H)'!$C$1:$CZ$426,95,FALSE)</f>
        <v>#N/A</v>
      </c>
      <c r="F229" s="271">
        <v>0</v>
      </c>
      <c r="G229" s="581"/>
      <c r="H229" s="17"/>
      <c r="I229" s="573"/>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421"/>
      <c r="C230" s="421"/>
      <c r="D230" s="31" t="s">
        <v>930</v>
      </c>
      <c r="E230" s="101" t="e">
        <f>SUM(E228:E229)</f>
        <v>#N/A</v>
      </c>
      <c r="F230" s="101">
        <f>SUM(F228:F229)</f>
        <v>0</v>
      </c>
      <c r="G230" s="581"/>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421"/>
      <c r="C231" s="421"/>
      <c r="D231" s="24" t="s">
        <v>931</v>
      </c>
      <c r="E231" s="1"/>
      <c r="F231" s="358"/>
      <c r="G231" s="581"/>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421"/>
      <c r="C232" s="421"/>
      <c r="D232" s="28" t="s">
        <v>9</v>
      </c>
      <c r="F232" s="602"/>
      <c r="G232" s="581"/>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533" t="s">
        <v>314</v>
      </c>
      <c r="C233" s="533" t="s">
        <v>175</v>
      </c>
      <c r="D233" s="32" t="s">
        <v>3</v>
      </c>
      <c r="E233" s="531" t="e">
        <f>HLOOKUP($D$2,'2020 Data(H)'!$C$1:$CZ$426,165,FALSE)</f>
        <v>#N/A</v>
      </c>
      <c r="F233" s="280">
        <v>0</v>
      </c>
      <c r="G233" s="571"/>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533" t="s">
        <v>314</v>
      </c>
      <c r="C234" s="533" t="s">
        <v>175</v>
      </c>
      <c r="D234" s="32" t="s">
        <v>4</v>
      </c>
      <c r="E234" s="531" t="e">
        <f>HLOOKUP($D$2,'2020 Data(H)'!$C$1:$CZ$426,166,FALSE)</f>
        <v>#N/A</v>
      </c>
      <c r="F234" s="280">
        <v>0</v>
      </c>
      <c r="G234" s="571"/>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533" t="s">
        <v>314</v>
      </c>
      <c r="C235" s="533" t="s">
        <v>175</v>
      </c>
      <c r="D235" s="32" t="s">
        <v>5</v>
      </c>
      <c r="E235" s="531" t="e">
        <f>HLOOKUP($D$2,'2020 Data(H)'!$C$1:$CZ$426,167,FALSE)</f>
        <v>#N/A</v>
      </c>
      <c r="F235" s="280">
        <v>0</v>
      </c>
      <c r="G235" s="571"/>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533" t="s">
        <v>314</v>
      </c>
      <c r="C236" s="533" t="s">
        <v>175</v>
      </c>
      <c r="D236" s="32" t="s">
        <v>39</v>
      </c>
      <c r="E236" s="531" t="e">
        <f>HLOOKUP($D$2,'2020 Data(H)'!$C$1:$CZ$426,168,FALSE)</f>
        <v>#N/A</v>
      </c>
      <c r="F236" s="280">
        <v>0</v>
      </c>
      <c r="G236" s="571"/>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284"/>
      <c r="B237" s="421"/>
      <c r="C237" s="421"/>
      <c r="D237" s="603" t="s">
        <v>932</v>
      </c>
      <c r="E237" s="101" t="e">
        <f>SUM(E233:E236)</f>
        <v>#N/A</v>
      </c>
      <c r="F237" s="101">
        <f>SUM(F233:F236)</f>
        <v>0</v>
      </c>
      <c r="G237" s="581"/>
      <c r="H237" s="17"/>
      <c r="I237" s="79"/>
      <c r="Z237" s="284"/>
      <c r="AA237" s="284"/>
      <c r="AB237" s="284"/>
      <c r="AC237" s="284"/>
      <c r="AD237" s="284"/>
      <c r="AE237" s="284"/>
      <c r="AF237" s="284"/>
      <c r="AG237" s="284"/>
      <c r="AH237" s="284"/>
      <c r="AI237" s="284"/>
      <c r="AJ237" s="284"/>
      <c r="AK237" s="284"/>
      <c r="AL237" s="284"/>
      <c r="AM237" s="284"/>
      <c r="AN237" s="284"/>
      <c r="AO237" s="284"/>
      <c r="AP237" s="284"/>
      <c r="AQ237" s="284"/>
      <c r="AR237" s="284"/>
    </row>
    <row r="238" spans="1:44" ht="30.75" hidden="1" customHeight="1" x14ac:dyDescent="0.3">
      <c r="A238" s="108"/>
      <c r="B238" s="421"/>
      <c r="C238" s="421"/>
      <c r="D238" s="28" t="s">
        <v>48</v>
      </c>
      <c r="E238" s="1"/>
      <c r="F238" s="358"/>
      <c r="G238" s="581"/>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533" t="s">
        <v>37</v>
      </c>
      <c r="C239" s="533" t="s">
        <v>176</v>
      </c>
      <c r="D239" s="32" t="s">
        <v>14</v>
      </c>
      <c r="E239" s="531" t="e">
        <f>HLOOKUP($D$2,'2020 Data(H)'!$C$1:$CZ$426,169,FALSE)</f>
        <v>#N/A</v>
      </c>
      <c r="F239" s="280">
        <v>0</v>
      </c>
      <c r="G239" s="571">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533" t="s">
        <v>37</v>
      </c>
      <c r="C240" s="533" t="s">
        <v>176</v>
      </c>
      <c r="D240" s="32" t="s">
        <v>16</v>
      </c>
      <c r="E240" s="531" t="e">
        <f>HLOOKUP($D$2,'2020 Data(H)'!$C$1:$CZ$426,170,FALSE)</f>
        <v>#N/A</v>
      </c>
      <c r="F240" s="280">
        <v>0</v>
      </c>
      <c r="G240" s="571">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533" t="s">
        <v>37</v>
      </c>
      <c r="C241" s="533" t="s">
        <v>176</v>
      </c>
      <c r="D241" s="32" t="s">
        <v>18</v>
      </c>
      <c r="E241" s="531" t="e">
        <f>HLOOKUP($D$2,'2020 Data(H)'!$C$1:$CZ$426,171,FALSE)</f>
        <v>#N/A</v>
      </c>
      <c r="F241" s="280">
        <v>0</v>
      </c>
      <c r="G241" s="571">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533" t="s">
        <v>37</v>
      </c>
      <c r="C242" s="533" t="s">
        <v>176</v>
      </c>
      <c r="D242" s="32" t="s">
        <v>40</v>
      </c>
      <c r="E242" s="531" t="e">
        <f>HLOOKUP($D$2,'2020 Data(H)'!$C$1:$CZ$426,172,FALSE)</f>
        <v>#N/A</v>
      </c>
      <c r="F242" s="280">
        <v>0</v>
      </c>
      <c r="G242" s="571">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421"/>
      <c r="C243" s="421"/>
      <c r="D243" s="604"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421"/>
      <c r="C244" s="421"/>
      <c r="D244" s="28" t="s">
        <v>32</v>
      </c>
      <c r="E244" s="6"/>
      <c r="F244" s="605"/>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533" t="s">
        <v>314</v>
      </c>
      <c r="C245" s="533" t="s">
        <v>177</v>
      </c>
      <c r="D245" s="32" t="s">
        <v>15</v>
      </c>
      <c r="E245" s="531" t="e">
        <f>HLOOKUP($D$2,'2020 Data(H)'!$C$1:$CZ$426,173,FALSE)</f>
        <v>#N/A</v>
      </c>
      <c r="F245" s="280">
        <v>0</v>
      </c>
      <c r="G245" s="571">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533" t="s">
        <v>314</v>
      </c>
      <c r="C246" s="533" t="s">
        <v>177</v>
      </c>
      <c r="D246" s="32" t="s">
        <v>17</v>
      </c>
      <c r="E246" s="531" t="e">
        <f>HLOOKUP($D$2,'2020 Data(H)'!$C$1:$CZ$426,174,FALSE)</f>
        <v>#N/A</v>
      </c>
      <c r="F246" s="280">
        <v>0</v>
      </c>
      <c r="G246" s="571">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533" t="s">
        <v>314</v>
      </c>
      <c r="C247" s="533" t="s">
        <v>177</v>
      </c>
      <c r="D247" s="32" t="s">
        <v>19</v>
      </c>
      <c r="E247" s="531" t="e">
        <f>HLOOKUP($D$2,'2020 Data(H)'!$C$1:$CZ$426,175,FALSE)</f>
        <v>#N/A</v>
      </c>
      <c r="F247" s="280">
        <v>0</v>
      </c>
      <c r="G247" s="571">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533" t="s">
        <v>314</v>
      </c>
      <c r="C248" s="533" t="s">
        <v>177</v>
      </c>
      <c r="D248" s="32" t="s">
        <v>41</v>
      </c>
      <c r="E248" s="531" t="e">
        <f>HLOOKUP($D$2,'2020 Data(H)'!$C$1:$CZ$426,176,FALSE)</f>
        <v>#N/A</v>
      </c>
      <c r="F248" s="280">
        <v>0</v>
      </c>
      <c r="G248" s="571">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671"/>
      <c r="C249" s="671"/>
      <c r="D249" s="604" t="s">
        <v>33</v>
      </c>
      <c r="E249" s="101" t="e">
        <f>SUM(E245:E248)</f>
        <v>#N/A</v>
      </c>
      <c r="F249" s="101">
        <f>SUM(F245:F248)</f>
        <v>0</v>
      </c>
      <c r="G249" s="581"/>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671"/>
      <c r="C250" s="671"/>
      <c r="D250" s="606" t="s">
        <v>35</v>
      </c>
      <c r="E250" s="101" t="e">
        <f>E230+E237-E249</f>
        <v>#N/A</v>
      </c>
      <c r="F250" s="101">
        <f>F230+F237-F249</f>
        <v>0</v>
      </c>
      <c r="G250" s="581"/>
      <c r="H250" s="17"/>
      <c r="I250" s="79"/>
      <c r="J250" s="437"/>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421"/>
      <c r="C251" s="421"/>
      <c r="D251" s="597"/>
      <c r="E251" s="1"/>
      <c r="F251" s="358"/>
      <c r="G251" s="581"/>
      <c r="H251" s="17"/>
      <c r="I251" s="79"/>
      <c r="J251" s="437"/>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08"/>
      <c r="B252" s="716"/>
      <c r="C252" s="716"/>
      <c r="D252" s="707" t="s">
        <v>8</v>
      </c>
      <c r="E252" s="718"/>
      <c r="F252" s="719"/>
      <c r="G252" s="720"/>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08">
        <v>527</v>
      </c>
      <c r="B253" s="533" t="s">
        <v>58</v>
      </c>
      <c r="C253" s="533" t="s">
        <v>178</v>
      </c>
      <c r="D253" s="29" t="s">
        <v>933</v>
      </c>
      <c r="E253" s="531" t="e">
        <f>HLOOKUP($D$2,'2020 Data(H)'!$C$1:$CZ$426,177,FALSE)</f>
        <v>#N/A</v>
      </c>
      <c r="F253" s="280">
        <v>0</v>
      </c>
      <c r="G253" s="581"/>
      <c r="H253" s="17"/>
      <c r="I253" s="573"/>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08">
        <v>356</v>
      </c>
      <c r="B254" s="533" t="s">
        <v>66</v>
      </c>
      <c r="C254" s="533" t="s">
        <v>178</v>
      </c>
      <c r="D254" s="107" t="s">
        <v>20</v>
      </c>
      <c r="E254" s="531" t="e">
        <f>HLOOKUP($D$2,'2020 Data(H)'!$C$1:$CZ$426,118,FALSE)</f>
        <v>#N/A</v>
      </c>
      <c r="F254" s="280">
        <v>0</v>
      </c>
      <c r="G254" s="581"/>
      <c r="H254" s="17"/>
      <c r="I254" s="573"/>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08">
        <v>357</v>
      </c>
      <c r="B255" s="533" t="s">
        <v>56</v>
      </c>
      <c r="C255" s="533" t="s">
        <v>179</v>
      </c>
      <c r="D255" s="107" t="s">
        <v>21</v>
      </c>
      <c r="E255" s="531" t="e">
        <f>HLOOKUP($D$2,'2020 Data(H)'!$C$1:$CZ$426,119,FALSE)</f>
        <v>#N/A</v>
      </c>
      <c r="F255" s="280">
        <v>0</v>
      </c>
      <c r="G255" s="571">
        <f>IF(F255&lt;0,"Error: Enter as positive.",)</f>
        <v>0</v>
      </c>
      <c r="H255" s="17"/>
      <c r="I255" s="573"/>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705" t="s">
        <v>10</v>
      </c>
      <c r="C256" s="706"/>
      <c r="D256" s="681"/>
      <c r="E256" s="682"/>
      <c r="F256" s="721"/>
      <c r="G256" s="702"/>
      <c r="H256" s="17"/>
      <c r="I256" s="79"/>
      <c r="N256" s="282"/>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934</v>
      </c>
      <c r="D257" s="24" t="s">
        <v>740</v>
      </c>
      <c r="E257" s="531" t="e">
        <f>HLOOKUP($D$2,'2020 Data(H)'!$C$1:$CZ$426,103,FALSE)</f>
        <v>#N/A</v>
      </c>
      <c r="F257" s="280">
        <v>0</v>
      </c>
      <c r="G257" s="571">
        <f>IF(F257&lt;0,"Error: Enter as positive.",)</f>
        <v>0</v>
      </c>
      <c r="H257" s="17"/>
      <c r="I257" s="79"/>
      <c r="N257" s="282"/>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401</v>
      </c>
      <c r="D258" s="29" t="s">
        <v>935</v>
      </c>
      <c r="E258" s="531" t="e">
        <f>HLOOKUP($D$2,'2020 Data(H)'!$C$1:$CZ$426,109,FALSE)</f>
        <v>#N/A</v>
      </c>
      <c r="F258" s="280">
        <v>0</v>
      </c>
      <c r="G258" s="571">
        <f>IF(F258&lt;0,"Error: Enter as positive.",)</f>
        <v>0</v>
      </c>
      <c r="H258" s="17"/>
      <c r="I258" s="79"/>
      <c r="M258" s="98"/>
      <c r="N258" s="282"/>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936</v>
      </c>
      <c r="D259" s="24" t="s">
        <v>538</v>
      </c>
      <c r="E259" s="531" t="e">
        <f>HLOOKUP($D$2,'2020 Data(H)'!$C$1:$CZ$426,46,FALSE)</f>
        <v>#N/A</v>
      </c>
      <c r="F259" s="280">
        <v>0</v>
      </c>
      <c r="G259" s="571">
        <f>IF(F259&lt;0,"Error: Enter as positive.",)</f>
        <v>0</v>
      </c>
      <c r="H259" s="17"/>
      <c r="I259" s="607"/>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937</v>
      </c>
      <c r="D260" s="24" t="s">
        <v>538</v>
      </c>
      <c r="E260" s="531" t="e">
        <f>HLOOKUP($D$2,'2020 Data(H)'!$C$1:$CZ$426,120,FALSE)</f>
        <v>#N/A</v>
      </c>
      <c r="F260" s="280">
        <v>0</v>
      </c>
      <c r="G260" s="571">
        <f>IF(F260&lt;0,"Error: Enter as positive.",)</f>
        <v>0</v>
      </c>
      <c r="H260" s="17"/>
      <c r="I260" s="607"/>
      <c r="J260" s="437"/>
      <c r="L260" s="608"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610" customFormat="1" ht="33" customHeight="1" x14ac:dyDescent="0.3">
      <c r="A261" s="108"/>
      <c r="B261" s="667" t="s">
        <v>433</v>
      </c>
      <c r="C261" s="668"/>
      <c r="D261" s="96"/>
      <c r="E261" s="609"/>
      <c r="F261" s="595"/>
      <c r="G261" s="570"/>
      <c r="H261" s="17"/>
      <c r="I261" s="607"/>
      <c r="J261" s="18"/>
      <c r="K261" s="18"/>
      <c r="L261" s="18"/>
      <c r="M261" s="18"/>
      <c r="N261" s="282"/>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610" customFormat="1" ht="110.25" customHeight="1" x14ac:dyDescent="0.3">
      <c r="A262" s="124">
        <v>622</v>
      </c>
      <c r="B262" s="611" t="s">
        <v>362</v>
      </c>
      <c r="C262" s="124" t="s">
        <v>432</v>
      </c>
      <c r="D262" s="124" t="s">
        <v>830</v>
      </c>
      <c r="E262" s="531" t="e">
        <f>HLOOKUP($D$2,'2020 Data(H)'!$C$1:$CZ$426,282,FALSE)</f>
        <v>#N/A</v>
      </c>
      <c r="F262" s="280">
        <v>0</v>
      </c>
      <c r="G262" s="571"/>
      <c r="H262" s="17"/>
      <c r="I262" s="607"/>
      <c r="J262" s="18"/>
      <c r="K262" s="18"/>
      <c r="L262" s="18"/>
      <c r="M262" s="18"/>
      <c r="N262" s="282"/>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610" customFormat="1" ht="225" customHeight="1" x14ac:dyDescent="0.3">
      <c r="A263" s="108">
        <v>577</v>
      </c>
      <c r="B263" s="533"/>
      <c r="C263" s="533" t="s">
        <v>329</v>
      </c>
      <c r="D263" s="335" t="s">
        <v>398</v>
      </c>
      <c r="E263" s="928"/>
      <c r="F263" s="280"/>
      <c r="G263" s="929" t="str">
        <f>IF(F263="Yes","In this cell - Please include the name of the plan, a brief description of the benefit and the population group that received the benefits."," ")</f>
        <v xml:space="preserve"> </v>
      </c>
      <c r="H263" s="17"/>
      <c r="I263" s="607"/>
      <c r="J263" s="437"/>
      <c r="K263" s="18"/>
      <c r="L263" s="18"/>
      <c r="M263" s="18"/>
      <c r="N263" s="282"/>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610" customFormat="1" ht="30.75" hidden="1" customHeight="1" x14ac:dyDescent="0.3">
      <c r="A264" s="108"/>
      <c r="B264" s="667" t="s">
        <v>316</v>
      </c>
      <c r="C264" s="668"/>
      <c r="D264" s="96"/>
      <c r="E264" s="609"/>
      <c r="F264" s="612"/>
      <c r="G264" s="570"/>
      <c r="H264" s="17"/>
      <c r="I264" s="79"/>
      <c r="J264" s="18"/>
      <c r="K264" s="18"/>
      <c r="L264" s="18"/>
      <c r="M264" s="18"/>
      <c r="N264" s="282"/>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610" customFormat="1" ht="81.75" hidden="1" customHeight="1" x14ac:dyDescent="0.3">
      <c r="A265" s="108">
        <v>598</v>
      </c>
      <c r="B265" s="533" t="s">
        <v>59</v>
      </c>
      <c r="C265" s="533" t="s">
        <v>317</v>
      </c>
      <c r="D265" s="549" t="s">
        <v>402</v>
      </c>
      <c r="E265" s="531" t="e">
        <f>HLOOKUP($D$2,'2020 Data(H)'!$C$1:$CZ$426,258,FALSE)</f>
        <v>#N/A</v>
      </c>
      <c r="F265" s="280">
        <v>0</v>
      </c>
      <c r="G265" s="571">
        <f>IF(F265&lt;0,"Error: Enter as positive.",)</f>
        <v>0</v>
      </c>
      <c r="H265" s="571"/>
      <c r="I265" s="607"/>
      <c r="J265" s="437"/>
      <c r="K265" s="18"/>
      <c r="L265" s="18"/>
      <c r="M265" s="18"/>
      <c r="N265" s="282"/>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610" customFormat="1" ht="53.25" hidden="1" customHeight="1" x14ac:dyDescent="0.3">
      <c r="A266" s="108">
        <v>599</v>
      </c>
      <c r="B266" s="533" t="s">
        <v>59</v>
      </c>
      <c r="C266" s="533" t="s">
        <v>317</v>
      </c>
      <c r="D266" s="29" t="s">
        <v>403</v>
      </c>
      <c r="E266" s="531" t="e">
        <f>HLOOKUP($D$2,'2020 Data(H)'!$C$1:$CZ$426,259,FALSE)</f>
        <v>#N/A</v>
      </c>
      <c r="F266" s="280">
        <v>0</v>
      </c>
      <c r="G266" s="614" t="str">
        <f>IF(ISBLANK(F266),"Please do not leave blank","")</f>
        <v/>
      </c>
      <c r="H266" s="571">
        <f>IF(F266&lt;0,"Error: Enter as positive.",)</f>
        <v>0</v>
      </c>
      <c r="I266" s="79"/>
      <c r="J266" s="608"/>
      <c r="K266" s="18"/>
      <c r="L266" s="18"/>
      <c r="M266" s="18"/>
      <c r="N266" s="282"/>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610" customFormat="1" ht="78.75" hidden="1" customHeight="1" x14ac:dyDescent="0.3">
      <c r="A267" s="108">
        <v>602</v>
      </c>
      <c r="B267" s="533" t="s">
        <v>59</v>
      </c>
      <c r="C267" s="533" t="s">
        <v>317</v>
      </c>
      <c r="D267" s="107" t="s">
        <v>407</v>
      </c>
      <c r="E267" s="531" t="e">
        <f>HLOOKUP($D$2,'2020 Data(H)'!$C$1:$CZ$426,262,FALSE)</f>
        <v>#N/A</v>
      </c>
      <c r="F267" s="280">
        <v>0</v>
      </c>
      <c r="G267" s="614" t="str">
        <f>IF(ISBLANK(F267),"Please do not leave blank","")</f>
        <v/>
      </c>
      <c r="H267" s="571">
        <f>IF(F267&lt;0,"Note: Number is normally positive.",)</f>
        <v>0</v>
      </c>
      <c r="I267" s="79"/>
      <c r="J267" s="437"/>
      <c r="K267" s="18"/>
      <c r="L267" s="18"/>
      <c r="M267" s="18"/>
      <c r="N267" s="282"/>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610" customFormat="1" ht="90" hidden="1" customHeight="1" x14ac:dyDescent="0.3">
      <c r="A268" s="108">
        <v>619</v>
      </c>
      <c r="B268" s="533" t="s">
        <v>59</v>
      </c>
      <c r="C268" s="533" t="s">
        <v>422</v>
      </c>
      <c r="D268" s="94" t="s">
        <v>429</v>
      </c>
      <c r="E268" s="35" t="e">
        <f>HLOOKUP($D$2,'2020 Data(H)'!$C$1:$CZ$426,279,FALSE)</f>
        <v>#N/A</v>
      </c>
      <c r="F268" s="740">
        <v>0</v>
      </c>
      <c r="G268" s="614" t="str">
        <f>IF(ISBLANK(F268),"Please do not leave blank ",IF(F268=H268,"","Please review percentage"))</f>
        <v/>
      </c>
      <c r="H268" s="615">
        <f>ROUND(IFERROR((F267/F266)*100,0),1)</f>
        <v>0</v>
      </c>
      <c r="I268" s="282"/>
      <c r="J268" s="18"/>
      <c r="K268" s="18"/>
      <c r="L268" s="18"/>
      <c r="M268" s="18"/>
      <c r="N268" s="282"/>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705" t="s">
        <v>25</v>
      </c>
      <c r="C269" s="706"/>
      <c r="D269" s="708"/>
      <c r="E269" s="722"/>
      <c r="F269" s="723"/>
      <c r="G269" s="690"/>
      <c r="H269" s="17"/>
      <c r="I269" s="79"/>
      <c r="J269" s="437"/>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362</v>
      </c>
      <c r="C270" s="124" t="s">
        <v>434</v>
      </c>
      <c r="D270" s="124" t="s">
        <v>831</v>
      </c>
      <c r="E270" s="531" t="e">
        <f>HLOOKUP($D$2,'2020 Data(H)'!$C$1:$CZ$426,281,FALSE)</f>
        <v>#N/A</v>
      </c>
      <c r="F270" s="280">
        <v>0</v>
      </c>
      <c r="G270" s="614" t="s">
        <v>832</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533"/>
      <c r="C271" s="533" t="s">
        <v>167</v>
      </c>
      <c r="D271" s="530" t="s">
        <v>320</v>
      </c>
      <c r="E271" s="531" t="e">
        <f>HLOOKUP($D$2,'2020 Data(H)'!$C$1:$CZ$426,197,FALSE)</f>
        <v>#N/A</v>
      </c>
      <c r="F271" s="579"/>
      <c r="G271" s="613" t="str">
        <f>IF(F271&lt;1,"Please answer this question","")</f>
        <v>Please answer this question</v>
      </c>
      <c r="H271" s="572"/>
      <c r="I271" s="573"/>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291">
        <v>659</v>
      </c>
      <c r="B272" s="665" t="s">
        <v>59</v>
      </c>
      <c r="C272" s="665" t="s">
        <v>417</v>
      </c>
      <c r="D272" s="294" t="s">
        <v>833</v>
      </c>
      <c r="E272" s="531" t="e">
        <f>HLOOKUP($D$2,'2020 Data(H)'!$C$1:$CZ$426,312,FALSE)</f>
        <v>#N/A</v>
      </c>
      <c r="F272" s="281">
        <v>0</v>
      </c>
      <c r="G272" s="614" t="s">
        <v>834</v>
      </c>
      <c r="H272" s="571">
        <f>IF(F269&lt;0,"Error: Enter as positive.",)</f>
        <v>0</v>
      </c>
      <c r="I272" s="357"/>
      <c r="N272" s="282"/>
      <c r="Z272" s="291"/>
      <c r="AA272" s="291"/>
      <c r="AB272" s="291"/>
      <c r="AC272" s="291"/>
      <c r="AD272" s="291"/>
      <c r="AE272" s="291"/>
      <c r="AF272" s="291"/>
      <c r="AG272" s="291"/>
      <c r="AH272" s="291"/>
      <c r="AI272" s="291"/>
      <c r="AJ272" s="291"/>
      <c r="AK272" s="291"/>
      <c r="AL272" s="291"/>
      <c r="AM272" s="291"/>
      <c r="AN272" s="291"/>
      <c r="AO272" s="291"/>
      <c r="AP272" s="291"/>
      <c r="AQ272" s="291"/>
      <c r="AR272" s="291"/>
    </row>
    <row r="273" spans="1:44" ht="65.25" customHeight="1" x14ac:dyDescent="0.3">
      <c r="A273" s="291">
        <v>660</v>
      </c>
      <c r="B273" s="665" t="s">
        <v>59</v>
      </c>
      <c r="C273" s="665" t="s">
        <v>417</v>
      </c>
      <c r="D273" s="294" t="s">
        <v>835</v>
      </c>
      <c r="E273" s="531" t="e">
        <f>HLOOKUP($D$2,'2020 Data(H)'!$C$1:$CZ$426,313,FALSE)</f>
        <v>#N/A</v>
      </c>
      <c r="F273" s="281">
        <v>0</v>
      </c>
      <c r="G273" s="614" t="str">
        <f>IF(ISBLANK(F273),"Please do not leave blank","")</f>
        <v/>
      </c>
      <c r="H273" s="571">
        <f>IF(F270&lt;0,"Note: Number is normally positive.",)</f>
        <v>0</v>
      </c>
      <c r="I273" s="17"/>
      <c r="Z273" s="291"/>
      <c r="AA273" s="291"/>
      <c r="AB273" s="291"/>
      <c r="AC273" s="291"/>
      <c r="AD273" s="291"/>
      <c r="AE273" s="291"/>
      <c r="AF273" s="291"/>
      <c r="AG273" s="291"/>
      <c r="AH273" s="291"/>
      <c r="AI273" s="291"/>
      <c r="AJ273" s="291"/>
      <c r="AK273" s="291"/>
      <c r="AL273" s="291"/>
      <c r="AM273" s="291"/>
      <c r="AN273" s="291"/>
      <c r="AO273" s="291"/>
      <c r="AP273" s="291"/>
      <c r="AQ273" s="291"/>
      <c r="AR273" s="291"/>
    </row>
    <row r="274" spans="1:44" ht="94.5" customHeight="1" x14ac:dyDescent="0.3">
      <c r="A274" s="291">
        <v>661</v>
      </c>
      <c r="B274" s="665" t="s">
        <v>59</v>
      </c>
      <c r="C274" s="665" t="s">
        <v>421</v>
      </c>
      <c r="D274" s="498" t="s">
        <v>836</v>
      </c>
      <c r="E274" s="359" t="e">
        <f>HLOOKUP($D$2,'2020 Data(H)'!$C$1:$CZ$426,314,FALSE)</f>
        <v>#N/A</v>
      </c>
      <c r="F274" s="270">
        <v>0</v>
      </c>
      <c r="G274" s="614" t="str">
        <f>IF(ISBLANK(F274),"Please do not leave blank ",IF(F274=H274,"","Please review percentage"))</f>
        <v/>
      </c>
      <c r="H274" s="615">
        <f>ROUND(IFERROR((F273/F272)*100,0),1)</f>
        <v>0</v>
      </c>
      <c r="I274" s="615"/>
      <c r="Z274" s="291"/>
      <c r="AA274" s="291"/>
      <c r="AB274" s="291"/>
      <c r="AC274" s="291"/>
      <c r="AD274" s="291"/>
      <c r="AE274" s="291"/>
      <c r="AF274" s="291"/>
      <c r="AG274" s="291"/>
      <c r="AH274" s="291"/>
      <c r="AI274" s="291"/>
      <c r="AJ274" s="291"/>
      <c r="AK274" s="291"/>
      <c r="AL274" s="291"/>
      <c r="AM274" s="291"/>
      <c r="AN274" s="291"/>
      <c r="AO274" s="291"/>
      <c r="AP274" s="291"/>
      <c r="AQ274" s="291"/>
      <c r="AR274" s="291"/>
    </row>
    <row r="275" spans="1:44" ht="111.75" customHeight="1" x14ac:dyDescent="0.3">
      <c r="A275" s="108"/>
      <c r="B275" s="533"/>
      <c r="C275" s="533"/>
      <c r="D275" s="27" t="s">
        <v>26</v>
      </c>
      <c r="E275" s="535"/>
      <c r="F275" s="538"/>
      <c r="G275" s="614"/>
      <c r="H275" s="615"/>
      <c r="I275" s="616"/>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705" t="s">
        <v>27</v>
      </c>
      <c r="C276" s="706"/>
      <c r="D276" s="708"/>
      <c r="E276" s="722"/>
      <c r="F276" s="722"/>
      <c r="G276" s="690"/>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938</v>
      </c>
      <c r="E277" s="531" t="e">
        <f>HLOOKUP($D$2,'2020 Data(H)'!$C$1:$CZ$426,132,FALSE)</f>
        <v>#N/A</v>
      </c>
      <c r="F277" s="281">
        <v>0</v>
      </c>
      <c r="G277" s="571">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663" t="s">
        <v>58</v>
      </c>
      <c r="C278" s="4" t="s">
        <v>168</v>
      </c>
      <c r="D278" s="24" t="s">
        <v>939</v>
      </c>
      <c r="E278" s="531" t="e">
        <f>HLOOKUP($D$2,'2020 Data(H)'!$C$1:$CZ$426,163,FALSE)</f>
        <v>#N/A</v>
      </c>
      <c r="F278" s="281">
        <v>0</v>
      </c>
      <c r="G278" s="571">
        <f>IF(F278&lt;0,"Error: Enter as positive.",)</f>
        <v>0</v>
      </c>
      <c r="H278" s="572"/>
      <c r="I278" s="573"/>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663" t="s">
        <v>58</v>
      </c>
      <c r="C279" s="4" t="s">
        <v>168</v>
      </c>
      <c r="D279" s="24" t="s">
        <v>940</v>
      </c>
      <c r="E279" s="531" t="e">
        <f>HLOOKUP($D$2,'2020 Data(H)'!$C$1:$CZ$426,164,FALSE)</f>
        <v>#N/A</v>
      </c>
      <c r="F279" s="281">
        <v>0</v>
      </c>
      <c r="G279" s="571">
        <f>IF(F279&lt;0,"Error: Enter as positive.",)</f>
        <v>0</v>
      </c>
      <c r="H279" s="17"/>
      <c r="I279" s="573"/>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672" t="s">
        <v>602</v>
      </c>
      <c r="C280" s="669" t="s">
        <v>168</v>
      </c>
      <c r="D280" s="598" t="s">
        <v>603</v>
      </c>
      <c r="E280" s="533" t="s">
        <v>599</v>
      </c>
      <c r="F280" s="281">
        <v>0</v>
      </c>
      <c r="G280" s="571"/>
      <c r="H280" s="17"/>
      <c r="I280" s="573"/>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705" t="s">
        <v>28</v>
      </c>
      <c r="C281" s="706"/>
      <c r="D281" s="708"/>
      <c r="E281" s="722"/>
      <c r="F281" s="690"/>
      <c r="G281" s="690"/>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941</v>
      </c>
      <c r="E282" s="531" t="e">
        <f>HLOOKUP($D$2,'2020 Data(H)'!$C$1:$CZ$426,5,FALSE)</f>
        <v>#N/A</v>
      </c>
      <c r="F282" s="281">
        <v>0</v>
      </c>
      <c r="G282" s="571">
        <f>IF(F282&lt;0,"Error: Enter as positive.",)</f>
        <v>0</v>
      </c>
      <c r="H282" s="17"/>
      <c r="I282" s="79"/>
      <c r="J282" s="437"/>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705" t="s">
        <v>180</v>
      </c>
      <c r="C283" s="706"/>
      <c r="D283" s="708"/>
      <c r="E283" s="724"/>
      <c r="F283" s="700"/>
      <c r="G283" s="700"/>
      <c r="H283" s="572"/>
      <c r="I283" s="573"/>
      <c r="J283" s="437"/>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533" t="s">
        <v>59</v>
      </c>
      <c r="C284" s="533" t="s">
        <v>942</v>
      </c>
      <c r="D284" s="530" t="s">
        <v>943</v>
      </c>
      <c r="E284" s="531" t="e">
        <f>HLOOKUP($D$2,'2020 Data(H)'!$C$1:$CZ$426,191,FALSE)</f>
        <v>#N/A</v>
      </c>
      <c r="F284" s="281">
        <v>0</v>
      </c>
      <c r="G284" s="571"/>
      <c r="H284" s="572"/>
      <c r="I284" s="573"/>
      <c r="J284" s="437"/>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706" t="s">
        <v>50</v>
      </c>
      <c r="C285" s="706"/>
      <c r="D285" s="708"/>
      <c r="E285" s="724"/>
      <c r="F285" s="720"/>
      <c r="G285" s="720"/>
      <c r="H285" s="572"/>
      <c r="I285" s="573"/>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533" t="s">
        <v>59</v>
      </c>
      <c r="C286" s="673" t="s">
        <v>944</v>
      </c>
      <c r="D286" s="29" t="s">
        <v>170</v>
      </c>
      <c r="E286" s="531" t="e">
        <f>HLOOKUP($D$2,'2020 Data(H)'!$C$1:$CZ$426,192,FALSE)</f>
        <v>#N/A</v>
      </c>
      <c r="F286" s="281">
        <v>0</v>
      </c>
      <c r="G286" s="571"/>
      <c r="H286" s="572"/>
      <c r="I286" s="617"/>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705" t="s">
        <v>945</v>
      </c>
      <c r="C287" s="705"/>
      <c r="D287" s="681"/>
      <c r="E287" s="682"/>
      <c r="F287" s="702"/>
      <c r="G287" s="702"/>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725" t="s">
        <v>12</v>
      </c>
      <c r="C288" s="725"/>
      <c r="D288" s="681"/>
      <c r="E288" s="682"/>
      <c r="F288" s="726"/>
      <c r="G288" s="702"/>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533" t="s">
        <v>55</v>
      </c>
      <c r="C289" s="4" t="s">
        <v>171</v>
      </c>
      <c r="D289" s="470" t="s">
        <v>981</v>
      </c>
      <c r="E289" s="531" t="e">
        <f>HLOOKUP($D$2,'2020 Data(H)'!$C$1:$CZ$426,178,FALSE)</f>
        <v>#N/A</v>
      </c>
      <c r="F289" s="281">
        <v>0</v>
      </c>
      <c r="G289" s="571">
        <f>IF(F289="","Error: Unit must enter this information if they levy taxes.",)</f>
        <v>0</v>
      </c>
      <c r="H289" s="618"/>
      <c r="I289" s="79"/>
      <c r="J289" s="619"/>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533" t="s">
        <v>55</v>
      </c>
      <c r="C290" s="4" t="s">
        <v>171</v>
      </c>
      <c r="D290" s="470" t="s">
        <v>946</v>
      </c>
      <c r="E290" s="531" t="e">
        <f>HLOOKUP($D$2,'2020 Data(H)'!$C$1:$CZ$426,179,FALSE)</f>
        <v>#N/A</v>
      </c>
      <c r="F290" s="281">
        <v>0</v>
      </c>
      <c r="G290" s="571">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533" t="s">
        <v>55</v>
      </c>
      <c r="C291" s="4" t="s">
        <v>171</v>
      </c>
      <c r="D291" s="674" t="s">
        <v>947</v>
      </c>
      <c r="E291" s="531" t="e">
        <f>HLOOKUP($D$2,'2020 Data(H)'!$C$1:$CZ$426,180,FALSE)</f>
        <v>#N/A</v>
      </c>
      <c r="F291" s="281">
        <v>0</v>
      </c>
      <c r="G291" s="571">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533" t="s">
        <v>55</v>
      </c>
      <c r="C292" s="4" t="s">
        <v>171</v>
      </c>
      <c r="D292" s="674" t="s">
        <v>948</v>
      </c>
      <c r="E292" s="531" t="e">
        <f>HLOOKUP($D$2,'2020 Data(H)'!$C$1:$CZ$426,181,FALSE)</f>
        <v>#N/A</v>
      </c>
      <c r="F292" s="281">
        <v>0</v>
      </c>
      <c r="G292" s="571">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949</v>
      </c>
      <c r="E293" s="35" t="e">
        <f>HLOOKUP($D$2,'2020 Data(H)'!$C$1:$CZ$426,43,FALSE)</f>
        <v>#N/A</v>
      </c>
      <c r="F293" s="276">
        <v>0</v>
      </c>
      <c r="G293" s="571" t="e">
        <f>IF(F293=H293," ","Please check values in account 528, 529, 530 and  531.")</f>
        <v>#DIV/0!</v>
      </c>
      <c r="H293" s="620"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950</v>
      </c>
      <c r="E294" s="35" t="e">
        <f>HLOOKUP($D$2,'2020 Data(H)'!$C$1:$CZ$426,62,FALSE)</f>
        <v>#N/A</v>
      </c>
      <c r="F294" s="276">
        <v>0</v>
      </c>
      <c r="G294" s="571" t="e">
        <f>IF(F294=H294," ","Please check values in account 528 and 530.")</f>
        <v>#DIV/0!</v>
      </c>
      <c r="H294" s="620"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951</v>
      </c>
      <c r="E295" s="35" t="e">
        <f>HLOOKUP($D$2,'2020 Data(H)'!$C$1:$CZ$426,63,FALSE)</f>
        <v>#N/A</v>
      </c>
      <c r="F295" s="276">
        <v>0</v>
      </c>
      <c r="G295" s="571" t="e">
        <f>IF(F295=H295," ","Please check values in account 529 and 531.")</f>
        <v>#DIV/0!</v>
      </c>
      <c r="H295" s="620" t="e">
        <f>ROUND((F290-F292)/F290*100,2)</f>
        <v>#DIV/0!</v>
      </c>
      <c r="I295" s="79"/>
      <c r="M295" s="18" t="s">
        <v>600</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533" t="s">
        <v>59</v>
      </c>
      <c r="C296" s="533" t="s">
        <v>171</v>
      </c>
      <c r="D296" s="24" t="s">
        <v>952</v>
      </c>
      <c r="E296" s="36" t="e">
        <f>HLOOKUP($D$2,'2020 Data(H)'!$C$1:$CZ$426,194,FALSE)</f>
        <v>#N/A</v>
      </c>
      <c r="F296" s="348">
        <v>0</v>
      </c>
      <c r="G296" s="571"/>
      <c r="H296" s="17"/>
      <c r="I296" s="108"/>
      <c r="J296" s="675"/>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533" t="s">
        <v>59</v>
      </c>
      <c r="C297" s="533" t="s">
        <v>171</v>
      </c>
      <c r="D297" s="24" t="s">
        <v>953</v>
      </c>
      <c r="E297" s="36"/>
      <c r="F297" s="348">
        <v>0</v>
      </c>
      <c r="G297" s="571"/>
      <c r="H297" s="17"/>
      <c r="I297" s="137"/>
      <c r="J297" s="675"/>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435</v>
      </c>
      <c r="E298" s="36"/>
      <c r="F298" s="269"/>
      <c r="G298" s="613" t="str">
        <f>IF(+F298&lt;1,"Please answer this question","")</f>
        <v>Please answer this question</v>
      </c>
      <c r="H298" s="17"/>
      <c r="I298" s="108"/>
      <c r="J298" s="675"/>
      <c r="M298" s="18" t="s">
        <v>601</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534">
        <v>648</v>
      </c>
      <c r="B299" s="298" t="s">
        <v>676</v>
      </c>
      <c r="C299" s="669" t="s">
        <v>171</v>
      </c>
      <c r="D299" s="298" t="s">
        <v>815</v>
      </c>
      <c r="E299" s="533" t="s">
        <v>599</v>
      </c>
      <c r="F299" s="348">
        <v>0</v>
      </c>
      <c r="G299" s="613"/>
      <c r="H299" s="17"/>
      <c r="I299" s="108"/>
      <c r="J299" s="675"/>
      <c r="Z299" s="534"/>
      <c r="AA299" s="534"/>
      <c r="AB299" s="534"/>
      <c r="AC299" s="534"/>
      <c r="AD299" s="534"/>
      <c r="AE299" s="534"/>
      <c r="AF299" s="534"/>
      <c r="AG299" s="534"/>
      <c r="AH299" s="534"/>
      <c r="AI299" s="534"/>
      <c r="AJ299" s="534"/>
      <c r="AK299" s="534"/>
      <c r="AL299" s="534"/>
      <c r="AM299" s="534"/>
      <c r="AN299" s="534"/>
      <c r="AO299" s="534"/>
      <c r="AP299" s="534"/>
      <c r="AQ299" s="534"/>
      <c r="AR299" s="534"/>
    </row>
    <row r="300" spans="1:44" ht="171" hidden="1" customHeight="1" x14ac:dyDescent="0.3">
      <c r="A300" s="534">
        <v>991</v>
      </c>
      <c r="B300" s="297" t="s">
        <v>608</v>
      </c>
      <c r="C300" s="298"/>
      <c r="D300" s="621" t="s">
        <v>754</v>
      </c>
      <c r="E300" s="533" t="s">
        <v>599</v>
      </c>
      <c r="F300" s="269"/>
      <c r="G300" s="613"/>
      <c r="H300" s="622" t="s">
        <v>604</v>
      </c>
      <c r="I300" s="254"/>
      <c r="J300" s="675"/>
      <c r="M300" s="18" t="s">
        <v>605</v>
      </c>
      <c r="Z300" s="534"/>
      <c r="AA300" s="534"/>
      <c r="AB300" s="534"/>
      <c r="AC300" s="534"/>
      <c r="AD300" s="534"/>
      <c r="AE300" s="534"/>
      <c r="AF300" s="534"/>
      <c r="AG300" s="534"/>
      <c r="AH300" s="534"/>
      <c r="AI300" s="534"/>
      <c r="AJ300" s="534"/>
      <c r="AK300" s="534"/>
      <c r="AL300" s="534"/>
      <c r="AM300" s="534"/>
      <c r="AN300" s="534"/>
      <c r="AO300" s="534"/>
      <c r="AP300" s="534"/>
      <c r="AQ300" s="534"/>
      <c r="AR300" s="534"/>
    </row>
    <row r="301" spans="1:44" ht="27.75" hidden="1" customHeight="1" x14ac:dyDescent="0.3">
      <c r="A301" s="108"/>
      <c r="B301" s="705" t="s">
        <v>424</v>
      </c>
      <c r="C301" s="705"/>
      <c r="D301" s="705"/>
      <c r="E301" s="727"/>
      <c r="F301" s="727"/>
      <c r="G301" s="728"/>
      <c r="H301" s="17"/>
      <c r="I301" s="108"/>
      <c r="J301" s="675"/>
      <c r="M301" s="18" t="s">
        <v>606</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hidden="1" customHeight="1" x14ac:dyDescent="0.3">
      <c r="A302" s="108">
        <v>620</v>
      </c>
      <c r="B302" s="533" t="s">
        <v>59</v>
      </c>
      <c r="C302" s="533"/>
      <c r="D302" s="24" t="s">
        <v>423</v>
      </c>
      <c r="E302" s="748"/>
      <c r="F302" s="269"/>
      <c r="G302" s="613" t="str">
        <f>IF(F302&lt;1,"Please answer this question","")</f>
        <v>Please answer this question</v>
      </c>
      <c r="H302" s="17"/>
      <c r="I302" s="108"/>
      <c r="J302" s="675"/>
      <c r="M302" s="18" t="s">
        <v>607</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676"/>
      <c r="B303" s="1079" t="s">
        <v>546</v>
      </c>
      <c r="C303" s="1079"/>
      <c r="D303" s="1079"/>
      <c r="E303" s="741"/>
      <c r="F303" s="741"/>
      <c r="G303" s="741"/>
      <c r="H303" s="17"/>
      <c r="I303" s="108"/>
      <c r="J303" s="675"/>
      <c r="M303" s="18" t="s">
        <v>553</v>
      </c>
      <c r="Z303" s="676"/>
      <c r="AA303" s="676"/>
      <c r="AB303" s="676"/>
      <c r="AC303" s="676"/>
      <c r="AD303" s="676"/>
      <c r="AE303" s="676"/>
      <c r="AF303" s="676"/>
      <c r="AG303" s="676"/>
      <c r="AH303" s="676"/>
      <c r="AI303" s="676"/>
      <c r="AJ303" s="676"/>
      <c r="AK303" s="676"/>
      <c r="AL303" s="676"/>
      <c r="AM303" s="676"/>
      <c r="AN303" s="676"/>
      <c r="AO303" s="676"/>
      <c r="AP303" s="676"/>
      <c r="AQ303" s="676"/>
      <c r="AR303" s="676"/>
    </row>
    <row r="304" spans="1:44" ht="63" customHeight="1" x14ac:dyDescent="0.3">
      <c r="A304" s="291">
        <v>947</v>
      </c>
      <c r="B304" s="677"/>
      <c r="C304" s="677"/>
      <c r="D304" s="174" t="s">
        <v>506</v>
      </c>
      <c r="E304" s="536"/>
      <c r="F304" s="623"/>
      <c r="G304" s="613" t="str">
        <f>IF(ISBLANK(F304),"Please do not leave blank","")</f>
        <v>Please do not leave blank</v>
      </c>
      <c r="H304" s="17"/>
      <c r="I304" s="282"/>
      <c r="J304" s="550"/>
      <c r="K304" s="282"/>
      <c r="L304" s="282"/>
      <c r="M304" s="282"/>
      <c r="O304" s="282"/>
      <c r="Z304" s="291"/>
      <c r="AA304" s="291"/>
      <c r="AB304" s="291"/>
      <c r="AC304" s="291"/>
      <c r="AD304" s="291"/>
      <c r="AE304" s="291"/>
      <c r="AF304" s="291"/>
      <c r="AG304" s="291"/>
      <c r="AH304" s="291"/>
      <c r="AI304" s="291"/>
      <c r="AJ304" s="291"/>
      <c r="AK304" s="291"/>
      <c r="AL304" s="291"/>
      <c r="AM304" s="291"/>
      <c r="AN304" s="291"/>
      <c r="AO304" s="291"/>
      <c r="AP304" s="291"/>
      <c r="AQ304" s="291"/>
      <c r="AR304" s="291"/>
    </row>
    <row r="305" spans="1:44" ht="65.25" customHeight="1" x14ac:dyDescent="0.3">
      <c r="A305" s="291">
        <v>948</v>
      </c>
      <c r="B305" s="677"/>
      <c r="C305" s="677"/>
      <c r="D305" s="174" t="s">
        <v>507</v>
      </c>
      <c r="E305" s="536"/>
      <c r="F305" s="623"/>
      <c r="G305" s="613" t="str">
        <f t="shared" ref="G305:G311" si="3">IF(ISBLANK(F305),"Please do not leave blank","")</f>
        <v>Please do not leave blank</v>
      </c>
      <c r="H305" s="17"/>
      <c r="I305" s="282"/>
      <c r="J305" s="550"/>
      <c r="K305" s="282"/>
      <c r="L305" s="282"/>
      <c r="M305" s="282"/>
      <c r="O305" s="282"/>
      <c r="Z305" s="291"/>
      <c r="AA305" s="291"/>
      <c r="AB305" s="291"/>
      <c r="AC305" s="291"/>
      <c r="AD305" s="291"/>
      <c r="AE305" s="291"/>
      <c r="AF305" s="291"/>
      <c r="AG305" s="291"/>
      <c r="AH305" s="291"/>
      <c r="AI305" s="291"/>
      <c r="AJ305" s="291"/>
      <c r="AK305" s="291"/>
      <c r="AL305" s="291"/>
      <c r="AM305" s="291"/>
      <c r="AN305" s="291"/>
      <c r="AO305" s="291"/>
      <c r="AP305" s="291"/>
      <c r="AQ305" s="291"/>
      <c r="AR305" s="291"/>
    </row>
    <row r="306" spans="1:44" ht="76.5" customHeight="1" x14ac:dyDescent="0.3">
      <c r="A306" s="291">
        <v>949</v>
      </c>
      <c r="B306" s="677"/>
      <c r="C306" s="677"/>
      <c r="D306" s="174" t="s">
        <v>508</v>
      </c>
      <c r="E306" s="536"/>
      <c r="F306" s="623"/>
      <c r="G306" s="613" t="str">
        <f t="shared" si="3"/>
        <v>Please do not leave blank</v>
      </c>
      <c r="H306" s="17"/>
      <c r="I306" s="282"/>
      <c r="J306" s="550"/>
      <c r="K306" s="282"/>
      <c r="L306" s="282"/>
      <c r="M306" s="282"/>
      <c r="O306" s="282"/>
      <c r="Z306" s="291"/>
      <c r="AA306" s="291"/>
      <c r="AB306" s="291"/>
      <c r="AC306" s="291"/>
      <c r="AD306" s="291"/>
      <c r="AE306" s="291"/>
      <c r="AF306" s="291"/>
      <c r="AG306" s="291"/>
      <c r="AH306" s="291"/>
      <c r="AI306" s="291"/>
      <c r="AJ306" s="291"/>
      <c r="AK306" s="291"/>
      <c r="AL306" s="291"/>
      <c r="AM306" s="291"/>
      <c r="AN306" s="291"/>
      <c r="AO306" s="291"/>
      <c r="AP306" s="291"/>
      <c r="AQ306" s="291"/>
      <c r="AR306" s="291"/>
    </row>
    <row r="307" spans="1:44" ht="60" customHeight="1" x14ac:dyDescent="0.3">
      <c r="A307" s="291">
        <v>950</v>
      </c>
      <c r="B307" s="677"/>
      <c r="C307" s="677"/>
      <c r="D307" s="174" t="s">
        <v>490</v>
      </c>
      <c r="E307" s="536"/>
      <c r="F307" s="623"/>
      <c r="G307" s="613" t="str">
        <f t="shared" si="3"/>
        <v>Please do not leave blank</v>
      </c>
      <c r="H307" s="17"/>
      <c r="I307" s="282"/>
      <c r="J307" s="550"/>
      <c r="K307" s="282"/>
      <c r="L307" s="282"/>
      <c r="M307" s="282"/>
      <c r="O307" s="282"/>
      <c r="Z307" s="291"/>
      <c r="AA307" s="291"/>
      <c r="AB307" s="291"/>
      <c r="AC307" s="291"/>
      <c r="AD307" s="291"/>
      <c r="AE307" s="291"/>
      <c r="AF307" s="291"/>
      <c r="AG307" s="291"/>
      <c r="AH307" s="291"/>
      <c r="AI307" s="291"/>
      <c r="AJ307" s="291"/>
      <c r="AK307" s="291"/>
      <c r="AL307" s="291"/>
      <c r="AM307" s="291"/>
      <c r="AN307" s="291"/>
      <c r="AO307" s="291"/>
      <c r="AP307" s="291"/>
      <c r="AQ307" s="291"/>
      <c r="AR307" s="291"/>
    </row>
    <row r="308" spans="1:44" ht="72" x14ac:dyDescent="0.3">
      <c r="A308" s="291">
        <v>952</v>
      </c>
      <c r="B308" s="677"/>
      <c r="C308" s="677"/>
      <c r="D308" s="624" t="s">
        <v>837</v>
      </c>
      <c r="E308" s="536"/>
      <c r="F308" s="625"/>
      <c r="G308" s="613" t="s">
        <v>982</v>
      </c>
      <c r="H308" s="17"/>
      <c r="I308" s="626"/>
      <c r="J308" s="550"/>
      <c r="K308" s="282"/>
      <c r="L308" s="282"/>
      <c r="M308" s="282"/>
      <c r="O308" s="282"/>
      <c r="Z308" s="291"/>
      <c r="AA308" s="291"/>
      <c r="AB308" s="291"/>
      <c r="AC308" s="291"/>
      <c r="AD308" s="291"/>
      <c r="AE308" s="291"/>
      <c r="AF308" s="291"/>
      <c r="AG308" s="291"/>
      <c r="AH308" s="291"/>
      <c r="AI308" s="291"/>
      <c r="AJ308" s="291"/>
      <c r="AK308" s="291"/>
      <c r="AL308" s="291"/>
      <c r="AM308" s="291"/>
      <c r="AN308" s="291"/>
      <c r="AO308" s="291"/>
      <c r="AP308" s="291"/>
      <c r="AQ308" s="291"/>
      <c r="AR308" s="291"/>
    </row>
    <row r="309" spans="1:44" ht="93" customHeight="1" x14ac:dyDescent="0.3">
      <c r="A309" s="291">
        <v>954</v>
      </c>
      <c r="B309" s="677"/>
      <c r="C309" s="677"/>
      <c r="D309" s="624" t="s">
        <v>491</v>
      </c>
      <c r="E309" s="536"/>
      <c r="F309" s="623"/>
      <c r="G309" s="613" t="str">
        <f t="shared" si="3"/>
        <v>Please do not leave blank</v>
      </c>
      <c r="H309" s="17"/>
      <c r="I309" s="282"/>
      <c r="J309" s="550"/>
      <c r="K309" s="282"/>
      <c r="L309" s="282"/>
      <c r="M309" s="282"/>
      <c r="O309" s="282"/>
      <c r="Z309" s="291"/>
      <c r="AA309" s="291"/>
      <c r="AB309" s="291"/>
      <c r="AC309" s="291"/>
      <c r="AD309" s="291"/>
      <c r="AE309" s="291"/>
      <c r="AF309" s="291"/>
      <c r="AG309" s="291"/>
      <c r="AH309" s="291"/>
      <c r="AI309" s="291"/>
      <c r="AJ309" s="291"/>
      <c r="AK309" s="291"/>
      <c r="AL309" s="291"/>
      <c r="AM309" s="291"/>
      <c r="AN309" s="291"/>
      <c r="AO309" s="291"/>
      <c r="AP309" s="291"/>
      <c r="AQ309" s="291"/>
      <c r="AR309" s="291"/>
    </row>
    <row r="310" spans="1:44" ht="98.25" customHeight="1" x14ac:dyDescent="0.3">
      <c r="A310" s="291">
        <v>956</v>
      </c>
      <c r="B310" s="677"/>
      <c r="C310" s="677"/>
      <c r="D310" s="624" t="s">
        <v>492</v>
      </c>
      <c r="E310" s="536"/>
      <c r="F310" s="623"/>
      <c r="G310" s="613" t="str">
        <f t="shared" si="3"/>
        <v>Please do not leave blank</v>
      </c>
      <c r="H310" s="17"/>
      <c r="I310" s="282"/>
      <c r="J310" s="285"/>
      <c r="K310" s="282"/>
      <c r="L310" s="282"/>
      <c r="M310" s="282"/>
      <c r="O310" s="282"/>
      <c r="Z310" s="291"/>
      <c r="AA310" s="291"/>
      <c r="AB310" s="291"/>
      <c r="AC310" s="291"/>
      <c r="AD310" s="291"/>
      <c r="AE310" s="291"/>
      <c r="AF310" s="291"/>
      <c r="AG310" s="291"/>
      <c r="AH310" s="291"/>
      <c r="AI310" s="291"/>
      <c r="AJ310" s="291"/>
      <c r="AK310" s="291"/>
      <c r="AL310" s="291"/>
      <c r="AM310" s="291"/>
      <c r="AN310" s="291"/>
      <c r="AO310" s="291"/>
      <c r="AP310" s="291"/>
      <c r="AQ310" s="291"/>
      <c r="AR310" s="291"/>
    </row>
    <row r="311" spans="1:44" ht="218.25" customHeight="1" x14ac:dyDescent="0.3">
      <c r="A311" s="291">
        <v>958</v>
      </c>
      <c r="B311" s="677"/>
      <c r="C311" s="677"/>
      <c r="D311" s="621" t="s">
        <v>696</v>
      </c>
      <c r="E311" s="536"/>
      <c r="F311" s="623"/>
      <c r="G311" s="613" t="str">
        <f t="shared" si="3"/>
        <v>Please do not leave blank</v>
      </c>
      <c r="H311" s="17"/>
      <c r="I311" s="282"/>
      <c r="J311" s="282"/>
      <c r="K311" s="282"/>
      <c r="L311" s="282"/>
      <c r="M311" s="282"/>
      <c r="O311" s="282"/>
      <c r="Z311" s="291"/>
      <c r="AA311" s="291"/>
      <c r="AB311" s="291"/>
      <c r="AC311" s="291"/>
      <c r="AD311" s="291"/>
      <c r="AE311" s="291"/>
      <c r="AF311" s="291"/>
      <c r="AG311" s="291"/>
      <c r="AH311" s="291"/>
      <c r="AI311" s="291"/>
      <c r="AJ311" s="291"/>
      <c r="AK311" s="291"/>
      <c r="AL311" s="291"/>
      <c r="AM311" s="291"/>
      <c r="AN311" s="291"/>
      <c r="AO311" s="291"/>
      <c r="AP311" s="291"/>
      <c r="AQ311" s="291"/>
      <c r="AR311" s="291"/>
    </row>
    <row r="312" spans="1:44" ht="15" thickBot="1" x14ac:dyDescent="0.35">
      <c r="A312" s="108"/>
      <c r="B312" s="729"/>
      <c r="C312" s="730"/>
      <c r="D312" s="731" t="s">
        <v>494</v>
      </c>
      <c r="E312" s="715"/>
      <c r="F312" s="732"/>
      <c r="G312" s="733"/>
      <c r="H312" s="734"/>
      <c r="I312" s="282"/>
      <c r="J312" s="282"/>
      <c r="K312" s="282"/>
      <c r="L312" s="282"/>
      <c r="M312" s="282"/>
      <c r="O312" s="282"/>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076" t="s">
        <v>547</v>
      </c>
      <c r="C313" s="1077"/>
      <c r="D313" s="1077"/>
      <c r="E313" s="1078"/>
      <c r="F313" s="79"/>
      <c r="G313" s="613"/>
      <c r="H313" s="17"/>
      <c r="I313" s="108"/>
      <c r="Z313" s="18"/>
    </row>
    <row r="314" spans="1:44" ht="75.75" customHeight="1" x14ac:dyDescent="0.3">
      <c r="B314" s="1080" t="s">
        <v>548</v>
      </c>
      <c r="C314" s="1080"/>
      <c r="D314" s="1080"/>
      <c r="E314" s="1080"/>
      <c r="F314" s="79"/>
      <c r="G314" s="613"/>
      <c r="H314" s="17"/>
      <c r="I314" s="108"/>
      <c r="Z314" s="18"/>
    </row>
    <row r="315" spans="1:44" ht="15" thickBot="1" x14ac:dyDescent="0.35">
      <c r="A315" s="627"/>
      <c r="B315" s="628"/>
      <c r="C315" s="628"/>
      <c r="D315" s="629"/>
      <c r="E315" s="531"/>
      <c r="F315" s="79"/>
      <c r="G315" s="613"/>
      <c r="H315" s="17"/>
      <c r="I315" s="108"/>
      <c r="Z315" s="627"/>
      <c r="AA315" s="627"/>
      <c r="AB315" s="627"/>
      <c r="AC315" s="627"/>
      <c r="AD315" s="627"/>
      <c r="AE315" s="627"/>
      <c r="AF315" s="627"/>
      <c r="AG315" s="627"/>
      <c r="AH315" s="627"/>
      <c r="AI315" s="627"/>
      <c r="AJ315" s="627"/>
      <c r="AK315" s="627"/>
      <c r="AL315" s="627"/>
      <c r="AM315" s="627"/>
      <c r="AN315" s="627"/>
      <c r="AO315" s="627"/>
      <c r="AP315" s="627"/>
      <c r="AQ315" s="627"/>
      <c r="AR315" s="627"/>
    </row>
    <row r="316" spans="1:44" ht="15" thickBot="1" x14ac:dyDescent="0.35">
      <c r="B316" s="159" t="s">
        <v>471</v>
      </c>
      <c r="C316" s="160" t="s">
        <v>472</v>
      </c>
      <c r="D316" s="630"/>
      <c r="E316" s="631"/>
      <c r="F316" s="100"/>
      <c r="G316" s="613"/>
      <c r="H316" s="17"/>
      <c r="I316" s="108"/>
      <c r="Z316" s="18"/>
    </row>
    <row r="317" spans="1:44" ht="44.25" customHeight="1" thickBot="1" x14ac:dyDescent="0.35">
      <c r="B317" s="163" t="s">
        <v>512</v>
      </c>
      <c r="C317" s="162"/>
      <c r="D317" s="161"/>
      <c r="E317" s="537"/>
      <c r="F317" s="632"/>
      <c r="G317" s="613"/>
      <c r="H317" s="17"/>
      <c r="I317" s="108"/>
      <c r="Z317" s="18"/>
    </row>
    <row r="318" spans="1:44" ht="44.25" customHeight="1" thickBot="1" x14ac:dyDescent="0.35">
      <c r="B318" s="163"/>
      <c r="C318" s="173"/>
      <c r="D318" s="633" t="s">
        <v>536</v>
      </c>
      <c r="E318" s="634"/>
      <c r="F318" s="635"/>
      <c r="G318" s="635"/>
      <c r="H318" s="17"/>
      <c r="I318" s="108"/>
      <c r="Z318" s="18"/>
    </row>
    <row r="319" spans="1:44" ht="64.5" customHeight="1" thickBot="1" x14ac:dyDescent="0.35">
      <c r="A319" s="421">
        <v>960</v>
      </c>
      <c r="B319" s="1085" t="s">
        <v>513</v>
      </c>
      <c r="C319" s="1086"/>
      <c r="D319" s="636"/>
      <c r="E319" s="742" t="str">
        <f>IF(ISBLANK($D319),"&lt;&lt;&lt;&lt;&lt;&lt;&lt;&lt;&lt;&lt;&lt;&lt;&lt;&lt;&lt;","")</f>
        <v>&lt;&lt;&lt;&lt;&lt;&lt;&lt;&lt;&lt;&lt;&lt;&lt;&lt;&lt;&lt;</v>
      </c>
      <c r="F319" s="743" t="str">
        <f>IF(ISBLANK($D319),"Required","")</f>
        <v>Required</v>
      </c>
      <c r="G319" s="745"/>
      <c r="H319" s="572"/>
      <c r="I319" s="108"/>
      <c r="Z319" s="421"/>
      <c r="AA319" s="421"/>
      <c r="AB319" s="421"/>
      <c r="AC319" s="421"/>
      <c r="AD319" s="421"/>
      <c r="AE319" s="421"/>
      <c r="AF319" s="421"/>
      <c r="AG319" s="421"/>
      <c r="AH319" s="421"/>
      <c r="AI319" s="421"/>
      <c r="AJ319" s="421"/>
      <c r="AK319" s="421"/>
      <c r="AL319" s="421"/>
      <c r="AM319" s="421"/>
      <c r="AN319" s="421"/>
      <c r="AO319" s="421"/>
      <c r="AP319" s="421"/>
      <c r="AQ319" s="421"/>
      <c r="AR319" s="421"/>
    </row>
    <row r="320" spans="1:44" ht="30.75" customHeight="1" thickBot="1" x14ac:dyDescent="0.35">
      <c r="A320" s="421">
        <v>962</v>
      </c>
      <c r="B320" s="1081" t="s">
        <v>473</v>
      </c>
      <c r="C320" s="1082"/>
      <c r="D320" s="636"/>
      <c r="E320" s="742" t="str">
        <f>IF(ISBLANK($D320),"&lt;&lt;&lt;&lt;&lt;&lt;&lt;&lt;&lt;&lt;&lt;&lt;&lt;&lt;&lt;","")</f>
        <v>&lt;&lt;&lt;&lt;&lt;&lt;&lt;&lt;&lt;&lt;&lt;&lt;&lt;&lt;&lt;</v>
      </c>
      <c r="F320" s="743" t="str">
        <f>IF(ISBLANK($D320),"Required","")</f>
        <v>Required</v>
      </c>
      <c r="H320" s="17"/>
      <c r="I320" s="108"/>
      <c r="Z320" s="421"/>
      <c r="AA320" s="421"/>
      <c r="AB320" s="421"/>
      <c r="AC320" s="421"/>
      <c r="AD320" s="421"/>
      <c r="AE320" s="421"/>
      <c r="AF320" s="421"/>
      <c r="AG320" s="421"/>
      <c r="AH320" s="421"/>
      <c r="AI320" s="421"/>
      <c r="AJ320" s="421"/>
      <c r="AK320" s="421"/>
      <c r="AL320" s="421"/>
      <c r="AM320" s="421"/>
      <c r="AN320" s="421"/>
      <c r="AO320" s="421"/>
      <c r="AP320" s="421"/>
      <c r="AQ320" s="421"/>
      <c r="AR320" s="421"/>
    </row>
    <row r="321" spans="1:44" ht="30.75" customHeight="1" thickBot="1" x14ac:dyDescent="0.35">
      <c r="A321" s="421">
        <v>964</v>
      </c>
      <c r="B321" s="1081" t="s">
        <v>474</v>
      </c>
      <c r="C321" s="1082"/>
      <c r="D321" s="637"/>
      <c r="E321" s="742" t="str">
        <f>IF(ISBLANK($D321),"&lt;&lt;&lt;&lt;&lt;&lt;&lt;&lt;&lt;&lt;&lt;&lt;&lt;&lt;&lt;","")</f>
        <v>&lt;&lt;&lt;&lt;&lt;&lt;&lt;&lt;&lt;&lt;&lt;&lt;&lt;&lt;&lt;</v>
      </c>
      <c r="F321" s="743" t="str">
        <f>IF(ISBLANK($D321),"Required","")</f>
        <v>Required</v>
      </c>
      <c r="H321" s="17"/>
      <c r="I321" s="349"/>
      <c r="Z321" s="421"/>
      <c r="AA321" s="421"/>
      <c r="AB321" s="421"/>
      <c r="AC321" s="421"/>
      <c r="AD321" s="421"/>
      <c r="AE321" s="421"/>
      <c r="AF321" s="421"/>
      <c r="AG321" s="421"/>
      <c r="AH321" s="421"/>
      <c r="AI321" s="421"/>
      <c r="AJ321" s="421"/>
      <c r="AK321" s="421"/>
      <c r="AL321" s="421"/>
      <c r="AM321" s="421"/>
      <c r="AN321" s="421"/>
      <c r="AO321" s="421"/>
      <c r="AP321" s="421"/>
      <c r="AQ321" s="421"/>
      <c r="AR321" s="421"/>
    </row>
    <row r="322" spans="1:44" ht="30.75" customHeight="1" thickBot="1" x14ac:dyDescent="0.35">
      <c r="A322" s="421">
        <v>966</v>
      </c>
      <c r="B322" s="1081" t="s">
        <v>475</v>
      </c>
      <c r="C322" s="1082"/>
      <c r="D322" s="636"/>
      <c r="E322" s="742" t="str">
        <f>IF(ISBLANK($D322),"&lt;&lt;&lt;&lt;&lt;&lt;&lt;&lt;&lt;&lt;&lt;&lt;&lt;&lt;&lt;","")</f>
        <v>&lt;&lt;&lt;&lt;&lt;&lt;&lt;&lt;&lt;&lt;&lt;&lt;&lt;&lt;&lt;</v>
      </c>
      <c r="F322" s="743" t="str">
        <f>IF(ISBLANK($D322),"Required","")</f>
        <v>Required</v>
      </c>
      <c r="H322" s="17"/>
      <c r="I322" s="108"/>
      <c r="Z322" s="421"/>
      <c r="AA322" s="421"/>
      <c r="AB322" s="421"/>
      <c r="AC322" s="421"/>
      <c r="AD322" s="421"/>
      <c r="AE322" s="421"/>
      <c r="AF322" s="421"/>
      <c r="AG322" s="421"/>
      <c r="AH322" s="421"/>
      <c r="AI322" s="421"/>
      <c r="AJ322" s="421"/>
      <c r="AK322" s="421"/>
      <c r="AL322" s="421"/>
      <c r="AM322" s="421"/>
      <c r="AN322" s="421"/>
      <c r="AO322" s="421"/>
      <c r="AP322" s="421"/>
      <c r="AQ322" s="421"/>
      <c r="AR322" s="421"/>
    </row>
    <row r="323" spans="1:44" ht="30.75" customHeight="1" thickBot="1" x14ac:dyDescent="0.35">
      <c r="A323" s="421">
        <v>968</v>
      </c>
      <c r="B323" s="1083" t="s">
        <v>476</v>
      </c>
      <c r="C323" s="1084"/>
      <c r="D323" s="638"/>
      <c r="E323" s="744" t="str">
        <f>IF(ISBLANK($D323),"&lt;&lt;&lt;&lt;&lt;&lt;&lt;&lt;&lt;&lt;&lt;&lt;&lt;&lt;&lt;","")</f>
        <v>&lt;&lt;&lt;&lt;&lt;&lt;&lt;&lt;&lt;&lt;&lt;&lt;&lt;&lt;&lt;</v>
      </c>
      <c r="F323" s="743" t="str">
        <f>IF(ISBLANK($D323),"Required","")</f>
        <v>Required</v>
      </c>
      <c r="H323" s="17"/>
      <c r="I323" s="108"/>
      <c r="Z323" s="421"/>
      <c r="AA323" s="421"/>
      <c r="AB323" s="421"/>
      <c r="AC323" s="421"/>
      <c r="AD323" s="421"/>
      <c r="AE323" s="421"/>
      <c r="AF323" s="421"/>
      <c r="AG323" s="421"/>
      <c r="AH323" s="421"/>
      <c r="AI323" s="421"/>
      <c r="AJ323" s="421"/>
      <c r="AK323" s="421"/>
      <c r="AL323" s="421"/>
      <c r="AM323" s="421"/>
      <c r="AN323" s="421"/>
      <c r="AO323" s="421"/>
      <c r="AP323" s="421"/>
      <c r="AQ323" s="421"/>
      <c r="AR323" s="421"/>
    </row>
    <row r="324" spans="1:44" x14ac:dyDescent="0.3">
      <c r="A324" s="108"/>
      <c r="B324" s="735"/>
      <c r="C324" s="735"/>
      <c r="D324" s="746" t="s">
        <v>46</v>
      </c>
      <c r="E324" s="736"/>
      <c r="F324" s="736"/>
      <c r="G324" s="736"/>
      <c r="H324" s="737"/>
      <c r="I324" s="108"/>
    </row>
    <row r="325" spans="1:44" x14ac:dyDescent="0.3">
      <c r="A325" s="108"/>
      <c r="B325" s="533"/>
      <c r="C325" s="533"/>
      <c r="D325" s="171"/>
      <c r="E325" s="284"/>
      <c r="F325" s="639"/>
      <c r="G325" s="639"/>
      <c r="H325" s="17"/>
      <c r="I325" s="108"/>
    </row>
    <row r="326" spans="1:44" x14ac:dyDescent="0.3">
      <c r="A326" s="108"/>
      <c r="B326" s="533"/>
      <c r="C326" s="533"/>
      <c r="D326" s="24"/>
      <c r="E326" s="531"/>
      <c r="F326" s="639"/>
      <c r="G326" s="639"/>
      <c r="H326" s="17"/>
      <c r="I326" s="108"/>
    </row>
    <row r="327" spans="1:44" x14ac:dyDescent="0.3">
      <c r="A327" s="900">
        <f>SUBTOTAL(109,A7:A323)</f>
        <v>38722</v>
      </c>
    </row>
    <row r="328" spans="1:44" x14ac:dyDescent="0.3">
      <c r="A328" s="108"/>
      <c r="B328" s="678"/>
      <c r="C328" s="678"/>
      <c r="D328" s="640"/>
      <c r="E328" s="375"/>
      <c r="F328" s="18"/>
      <c r="G328" s="641"/>
      <c r="H328" s="17"/>
      <c r="I328" s="108"/>
    </row>
    <row r="329" spans="1:44" x14ac:dyDescent="0.3">
      <c r="A329" s="421"/>
      <c r="B329" s="421"/>
      <c r="C329" s="421"/>
      <c r="D329" s="640"/>
      <c r="E329" s="375"/>
      <c r="F329" s="282"/>
      <c r="G329" s="641"/>
      <c r="H329" s="17"/>
      <c r="I329" s="108"/>
    </row>
    <row r="330" spans="1:44" x14ac:dyDescent="0.3">
      <c r="A330" s="421"/>
      <c r="B330" s="421"/>
      <c r="C330" s="421"/>
      <c r="D330" s="642"/>
      <c r="E330" s="375"/>
      <c r="F330" s="282"/>
      <c r="G330" s="641"/>
      <c r="H330" s="17"/>
      <c r="I330" s="108"/>
    </row>
    <row r="331" spans="1:44" x14ac:dyDescent="0.3">
      <c r="A331" s="421"/>
      <c r="B331" s="421"/>
      <c r="C331" s="421"/>
      <c r="D331" s="642"/>
      <c r="E331" s="375"/>
      <c r="F331" s="282"/>
      <c r="G331" s="641"/>
      <c r="H331" s="17"/>
      <c r="I331" s="108"/>
    </row>
    <row r="332" spans="1:44" x14ac:dyDescent="0.3">
      <c r="A332" s="421"/>
      <c r="B332" s="421"/>
      <c r="C332" s="421"/>
      <c r="D332" s="642"/>
      <c r="E332" s="375"/>
      <c r="F332" s="282"/>
      <c r="G332" s="641"/>
      <c r="H332" s="17"/>
      <c r="I332" s="108"/>
    </row>
    <row r="333" spans="1:44" x14ac:dyDescent="0.3">
      <c r="A333" s="421"/>
      <c r="B333" s="421"/>
      <c r="C333" s="421"/>
      <c r="D333" s="642"/>
      <c r="E333" s="375"/>
      <c r="F333" s="282"/>
      <c r="G333" s="641"/>
      <c r="H333" s="17"/>
      <c r="I333" s="108"/>
    </row>
    <row r="334" spans="1:44" x14ac:dyDescent="0.3">
      <c r="A334" s="421"/>
      <c r="D334" s="461"/>
      <c r="E334" s="375"/>
      <c r="F334" s="282"/>
      <c r="H334" s="17"/>
      <c r="I334" s="108"/>
    </row>
    <row r="335" spans="1:44" x14ac:dyDescent="0.3">
      <c r="D335" s="461"/>
      <c r="E335" s="376"/>
      <c r="F335" s="282"/>
      <c r="H335" s="17"/>
      <c r="I335" s="108"/>
    </row>
    <row r="336" spans="1:44" x14ac:dyDescent="0.3">
      <c r="D336" s="461"/>
      <c r="E336" s="284"/>
      <c r="F336" s="282"/>
      <c r="H336" s="17"/>
      <c r="I336" s="108"/>
    </row>
    <row r="337" spans="4:12" x14ac:dyDescent="0.3">
      <c r="D337" s="461"/>
      <c r="E337" s="284"/>
      <c r="F337" s="282"/>
      <c r="I337" s="108"/>
    </row>
    <row r="338" spans="4:12" x14ac:dyDescent="0.3">
      <c r="E338" s="284"/>
      <c r="F338" s="282"/>
      <c r="G338" s="644"/>
      <c r="I338" s="108"/>
    </row>
    <row r="339" spans="4:12" x14ac:dyDescent="0.3">
      <c r="E339" s="284"/>
      <c r="F339" s="282"/>
      <c r="I339" s="108"/>
    </row>
    <row r="340" spans="4:12" x14ac:dyDescent="0.3">
      <c r="E340" s="284"/>
      <c r="F340" s="282"/>
      <c r="I340" s="108"/>
    </row>
    <row r="341" spans="4:12" x14ac:dyDescent="0.3">
      <c r="E341" s="284"/>
      <c r="F341" s="282"/>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82"/>
    </row>
    <row r="350" spans="4:12" x14ac:dyDescent="0.3">
      <c r="I350" s="282"/>
      <c r="K350" s="284"/>
      <c r="L350" s="284"/>
    </row>
    <row r="351" spans="4:12" x14ac:dyDescent="0.3">
      <c r="I351" s="282"/>
      <c r="K351" s="284"/>
      <c r="L351" s="284"/>
    </row>
    <row r="352" spans="4:12" x14ac:dyDescent="0.3">
      <c r="I352" s="282"/>
      <c r="K352" s="284"/>
      <c r="L352" s="284"/>
    </row>
    <row r="353" spans="9:12" x14ac:dyDescent="0.3">
      <c r="I353" s="282"/>
      <c r="K353" s="284"/>
      <c r="L353" s="284"/>
    </row>
    <row r="354" spans="9:12" x14ac:dyDescent="0.3">
      <c r="I354" s="282"/>
      <c r="K354" s="284"/>
      <c r="L354" s="284"/>
    </row>
    <row r="355" spans="9:12" x14ac:dyDescent="0.3">
      <c r="I355" s="282"/>
      <c r="K355" s="284"/>
      <c r="L355" s="284"/>
    </row>
    <row r="356" spans="9:12" x14ac:dyDescent="0.3">
      <c r="I356" s="108"/>
      <c r="K356" s="284"/>
      <c r="L356" s="284"/>
    </row>
    <row r="357" spans="9:12" x14ac:dyDescent="0.3">
      <c r="I357" s="108"/>
      <c r="K357" s="284"/>
      <c r="L357" s="284"/>
    </row>
    <row r="358" spans="9:12" x14ac:dyDescent="0.3">
      <c r="I358" s="108"/>
      <c r="J358" s="284"/>
      <c r="K358" s="284"/>
      <c r="L358" s="284"/>
    </row>
    <row r="359" spans="9:12" x14ac:dyDescent="0.3">
      <c r="I359" s="108"/>
      <c r="J359" s="284"/>
      <c r="K359" s="284"/>
      <c r="L359" s="284"/>
    </row>
    <row r="360" spans="9:12" x14ac:dyDescent="0.3">
      <c r="I360" s="108"/>
      <c r="J360" s="284"/>
      <c r="K360" s="284"/>
      <c r="L360" s="284"/>
    </row>
    <row r="361" spans="9:12" x14ac:dyDescent="0.3">
      <c r="I361" s="108"/>
      <c r="J361" s="284"/>
      <c r="K361" s="284"/>
      <c r="L361" s="284"/>
    </row>
    <row r="362" spans="9:12" x14ac:dyDescent="0.3">
      <c r="I362" s="108"/>
      <c r="J362" s="284"/>
      <c r="K362" s="284"/>
      <c r="L362" s="284"/>
    </row>
    <row r="363" spans="9:12" x14ac:dyDescent="0.3">
      <c r="I363" s="108"/>
      <c r="J363" s="284"/>
      <c r="K363" s="284"/>
      <c r="L363" s="284"/>
    </row>
    <row r="364" spans="9:12" x14ac:dyDescent="0.3">
      <c r="I364" s="108"/>
      <c r="J364" s="284"/>
      <c r="K364" s="284"/>
      <c r="L364" s="284"/>
    </row>
    <row r="365" spans="9:12" x14ac:dyDescent="0.3">
      <c r="I365" s="282"/>
      <c r="J365" s="284"/>
      <c r="K365" s="284"/>
      <c r="L365" s="284"/>
    </row>
    <row r="366" spans="9:12" x14ac:dyDescent="0.3">
      <c r="I366" s="282"/>
      <c r="J366" s="284"/>
      <c r="K366" s="284"/>
      <c r="L366" s="284"/>
    </row>
    <row r="367" spans="9:12" x14ac:dyDescent="0.3">
      <c r="I367" s="282"/>
      <c r="J367" s="284"/>
      <c r="K367" s="284"/>
      <c r="L367" s="284"/>
    </row>
    <row r="368" spans="9:12" x14ac:dyDescent="0.3">
      <c r="I368" s="282"/>
      <c r="J368" s="284"/>
      <c r="K368" s="284"/>
      <c r="L368" s="284"/>
    </row>
    <row r="369" spans="9:12" x14ac:dyDescent="0.3">
      <c r="I369" s="282"/>
      <c r="J369" s="284"/>
      <c r="K369" s="284"/>
      <c r="L369" s="284"/>
    </row>
    <row r="370" spans="9:12" x14ac:dyDescent="0.3">
      <c r="I370" s="282"/>
      <c r="J370" s="284"/>
      <c r="K370" s="284"/>
      <c r="L370" s="284"/>
    </row>
    <row r="371" spans="9:12" x14ac:dyDescent="0.3">
      <c r="I371" s="282"/>
      <c r="J371" s="284"/>
      <c r="K371" s="284"/>
      <c r="L371" s="284"/>
    </row>
    <row r="372" spans="9:12" x14ac:dyDescent="0.3">
      <c r="I372" s="282"/>
      <c r="J372" s="284"/>
      <c r="K372" s="284"/>
      <c r="L372" s="284"/>
    </row>
    <row r="373" spans="9:12" x14ac:dyDescent="0.3">
      <c r="I373" s="282"/>
      <c r="J373" s="284"/>
      <c r="K373" s="284"/>
      <c r="L373" s="284"/>
    </row>
    <row r="374" spans="9:12" x14ac:dyDescent="0.3">
      <c r="I374" s="282"/>
      <c r="J374" s="284"/>
      <c r="K374" s="284"/>
      <c r="L374" s="284"/>
    </row>
    <row r="375" spans="9:12" x14ac:dyDescent="0.3">
      <c r="I375" s="282"/>
      <c r="J375" s="284"/>
      <c r="K375" s="284"/>
      <c r="L375" s="284"/>
    </row>
    <row r="376" spans="9:12" x14ac:dyDescent="0.3">
      <c r="I376" s="282"/>
      <c r="J376" s="284"/>
      <c r="K376" s="284"/>
      <c r="L376" s="284"/>
    </row>
    <row r="377" spans="9:12" x14ac:dyDescent="0.3">
      <c r="I377" s="282"/>
      <c r="J377" s="284"/>
      <c r="K377" s="284"/>
      <c r="L377" s="284"/>
    </row>
    <row r="378" spans="9:12" x14ac:dyDescent="0.3">
      <c r="I378" s="282"/>
      <c r="J378" s="284"/>
      <c r="K378" s="284"/>
      <c r="L378" s="284"/>
    </row>
    <row r="379" spans="9:12" x14ac:dyDescent="0.3">
      <c r="I379" s="282"/>
      <c r="J379" s="284"/>
      <c r="K379" s="284"/>
      <c r="L379" s="284"/>
    </row>
    <row r="380" spans="9:12" x14ac:dyDescent="0.3">
      <c r="I380" s="282"/>
      <c r="J380" s="284"/>
      <c r="K380" s="284"/>
      <c r="L380" s="284"/>
    </row>
    <row r="381" spans="9:12" x14ac:dyDescent="0.3">
      <c r="I381" s="282"/>
      <c r="J381" s="284"/>
      <c r="K381" s="284"/>
      <c r="L381" s="284"/>
    </row>
    <row r="382" spans="9:12" x14ac:dyDescent="0.3">
      <c r="I382" s="282"/>
      <c r="J382" s="284"/>
      <c r="K382" s="284"/>
      <c r="L382" s="284"/>
    </row>
    <row r="383" spans="9:12" x14ac:dyDescent="0.3">
      <c r="I383" s="282"/>
      <c r="J383" s="284"/>
      <c r="K383" s="284"/>
      <c r="L383" s="284"/>
    </row>
    <row r="384" spans="9:12" x14ac:dyDescent="0.3">
      <c r="I384" s="282"/>
      <c r="J384" s="284"/>
      <c r="K384" s="284"/>
      <c r="L384" s="284"/>
    </row>
    <row r="385" spans="9:12" x14ac:dyDescent="0.3">
      <c r="I385" s="282"/>
      <c r="J385" s="284"/>
      <c r="K385" s="284"/>
      <c r="L385" s="284"/>
    </row>
    <row r="386" spans="9:12" x14ac:dyDescent="0.3">
      <c r="I386" s="282"/>
      <c r="J386" s="284"/>
      <c r="K386" s="284"/>
      <c r="L386" s="284"/>
    </row>
    <row r="387" spans="9:12" x14ac:dyDescent="0.3">
      <c r="I387" s="282"/>
      <c r="J387" s="284"/>
      <c r="K387" s="284"/>
      <c r="L387" s="284"/>
    </row>
    <row r="388" spans="9:12" x14ac:dyDescent="0.3">
      <c r="I388" s="282"/>
      <c r="J388" s="284"/>
      <c r="K388" s="284"/>
      <c r="L388" s="284"/>
    </row>
    <row r="389" spans="9:12" x14ac:dyDescent="0.3">
      <c r="I389" s="282"/>
      <c r="J389" s="284"/>
      <c r="K389" s="284"/>
      <c r="L389" s="284"/>
    </row>
    <row r="390" spans="9:12" x14ac:dyDescent="0.3">
      <c r="I390" s="282"/>
      <c r="J390" s="284"/>
      <c r="K390" s="284"/>
      <c r="L390" s="284"/>
    </row>
    <row r="391" spans="9:12" x14ac:dyDescent="0.3">
      <c r="I391" s="282"/>
      <c r="J391" s="284"/>
      <c r="K391" s="284"/>
      <c r="L391" s="284"/>
    </row>
    <row r="392" spans="9:12" x14ac:dyDescent="0.3">
      <c r="I392" s="282"/>
      <c r="J392" s="284"/>
      <c r="K392" s="284"/>
      <c r="L392" s="284"/>
    </row>
    <row r="393" spans="9:12" x14ac:dyDescent="0.3">
      <c r="I393" s="282"/>
      <c r="J393" s="284"/>
      <c r="K393" s="284"/>
      <c r="L393" s="284"/>
    </row>
    <row r="394" spans="9:12" x14ac:dyDescent="0.3">
      <c r="I394" s="282"/>
      <c r="J394" s="284"/>
      <c r="K394" s="284"/>
      <c r="L394" s="284"/>
    </row>
    <row r="395" spans="9:12" x14ac:dyDescent="0.3">
      <c r="I395" s="282"/>
      <c r="J395" s="284"/>
      <c r="K395" s="284"/>
      <c r="L395" s="284"/>
    </row>
    <row r="396" spans="9:12" x14ac:dyDescent="0.3">
      <c r="I396" s="282"/>
      <c r="J396" s="284"/>
      <c r="K396" s="284"/>
      <c r="L396" s="284"/>
    </row>
    <row r="397" spans="9:12" x14ac:dyDescent="0.3">
      <c r="I397" s="282"/>
      <c r="J397" s="284"/>
      <c r="K397" s="284"/>
      <c r="L397" s="284"/>
    </row>
    <row r="398" spans="9:12" x14ac:dyDescent="0.3">
      <c r="I398" s="282"/>
      <c r="J398" s="284"/>
      <c r="K398" s="284"/>
      <c r="L398" s="284"/>
    </row>
    <row r="399" spans="9:12" x14ac:dyDescent="0.3">
      <c r="I399" s="282"/>
      <c r="J399" s="284"/>
      <c r="K399" s="284"/>
      <c r="L399" s="284"/>
    </row>
    <row r="400" spans="9:12" x14ac:dyDescent="0.3">
      <c r="I400" s="282"/>
      <c r="J400" s="284"/>
      <c r="K400" s="284"/>
      <c r="L400" s="284"/>
    </row>
    <row r="401" spans="9:12" x14ac:dyDescent="0.3">
      <c r="I401" s="282"/>
      <c r="J401" s="284"/>
      <c r="K401" s="284"/>
      <c r="L401" s="284"/>
    </row>
    <row r="402" spans="9:12" x14ac:dyDescent="0.3">
      <c r="I402" s="282"/>
      <c r="J402" s="284"/>
      <c r="K402" s="284"/>
      <c r="L402" s="284"/>
    </row>
    <row r="403" spans="9:12" x14ac:dyDescent="0.3">
      <c r="I403" s="282"/>
      <c r="J403" s="284"/>
      <c r="K403" s="284"/>
      <c r="L403" s="284"/>
    </row>
    <row r="404" spans="9:12" x14ac:dyDescent="0.3">
      <c r="I404" s="282"/>
      <c r="J404" s="284"/>
      <c r="K404" s="284"/>
      <c r="L404" s="284"/>
    </row>
    <row r="405" spans="9:12" x14ac:dyDescent="0.3">
      <c r="I405" s="282"/>
      <c r="J405" s="284"/>
      <c r="K405" s="284"/>
      <c r="L405" s="284"/>
    </row>
    <row r="406" spans="9:12" x14ac:dyDescent="0.3">
      <c r="I406" s="282"/>
      <c r="J406" s="284"/>
      <c r="K406" s="284"/>
      <c r="L406" s="284"/>
    </row>
    <row r="407" spans="9:12" x14ac:dyDescent="0.3">
      <c r="I407" s="282"/>
      <c r="J407" s="284"/>
      <c r="K407" s="284"/>
      <c r="L407" s="284"/>
    </row>
    <row r="408" spans="9:12" x14ac:dyDescent="0.3">
      <c r="I408" s="282"/>
      <c r="J408" s="284"/>
      <c r="K408" s="284"/>
      <c r="L408" s="284"/>
    </row>
    <row r="409" spans="9:12" x14ac:dyDescent="0.3">
      <c r="I409" s="282"/>
      <c r="J409" s="284"/>
      <c r="K409" s="284"/>
      <c r="L409" s="284"/>
    </row>
    <row r="410" spans="9:12" x14ac:dyDescent="0.3">
      <c r="I410" s="282"/>
      <c r="J410" s="284"/>
      <c r="K410" s="284"/>
      <c r="L410" s="284"/>
    </row>
    <row r="411" spans="9:12" x14ac:dyDescent="0.3">
      <c r="I411" s="282"/>
      <c r="J411" s="284"/>
      <c r="K411" s="284"/>
      <c r="L411" s="284"/>
    </row>
    <row r="412" spans="9:12" x14ac:dyDescent="0.3">
      <c r="I412" s="282"/>
      <c r="J412" s="284"/>
      <c r="K412" s="284"/>
      <c r="L412" s="284"/>
    </row>
    <row r="413" spans="9:12" x14ac:dyDescent="0.3">
      <c r="I413" s="282"/>
      <c r="J413" s="284"/>
      <c r="K413" s="284"/>
      <c r="L413" s="284"/>
    </row>
    <row r="414" spans="9:12" x14ac:dyDescent="0.3">
      <c r="I414" s="282"/>
      <c r="J414" s="284"/>
      <c r="K414" s="284"/>
      <c r="L414" s="284"/>
    </row>
    <row r="415" spans="9:12" x14ac:dyDescent="0.3">
      <c r="I415" s="282"/>
      <c r="J415" s="284"/>
      <c r="K415" s="284"/>
      <c r="L415" s="284"/>
    </row>
    <row r="416" spans="9:12" x14ac:dyDescent="0.3">
      <c r="I416" s="282"/>
      <c r="J416" s="284"/>
      <c r="K416" s="284"/>
      <c r="L416" s="284"/>
    </row>
    <row r="417" spans="9:12" x14ac:dyDescent="0.3">
      <c r="I417" s="282"/>
      <c r="J417" s="284"/>
      <c r="K417" s="284"/>
      <c r="L417" s="284"/>
    </row>
    <row r="418" spans="9:12" x14ac:dyDescent="0.3">
      <c r="I418" s="282"/>
      <c r="J418" s="284"/>
      <c r="K418" s="284"/>
      <c r="L418" s="284"/>
    </row>
    <row r="419" spans="9:12" x14ac:dyDescent="0.3">
      <c r="I419" s="282"/>
      <c r="J419" s="284"/>
    </row>
    <row r="420" spans="9:12" x14ac:dyDescent="0.3">
      <c r="I420" s="282"/>
      <c r="J420" s="284"/>
    </row>
    <row r="421" spans="9:12" x14ac:dyDescent="0.3">
      <c r="I421" s="282"/>
      <c r="J421" s="284"/>
    </row>
    <row r="422" spans="9:12" x14ac:dyDescent="0.3">
      <c r="I422" s="282"/>
      <c r="J422" s="284"/>
    </row>
    <row r="423" spans="9:12" x14ac:dyDescent="0.3">
      <c r="I423" s="282"/>
      <c r="J423" s="284"/>
    </row>
    <row r="424" spans="9:12" x14ac:dyDescent="0.3">
      <c r="I424" s="282"/>
      <c r="J424" s="284"/>
    </row>
    <row r="425" spans="9:12" x14ac:dyDescent="0.3">
      <c r="I425" s="282"/>
      <c r="J425" s="284"/>
    </row>
    <row r="426" spans="9:12" x14ac:dyDescent="0.3">
      <c r="I426" s="282"/>
      <c r="J426" s="284"/>
    </row>
    <row r="427" spans="9:12" x14ac:dyDescent="0.3">
      <c r="I427" s="282"/>
    </row>
    <row r="428" spans="9:12" x14ac:dyDescent="0.3">
      <c r="I428" s="282"/>
    </row>
    <row r="429" spans="9:12" x14ac:dyDescent="0.3">
      <c r="I429" s="282"/>
    </row>
    <row r="430" spans="9:12" x14ac:dyDescent="0.3">
      <c r="I430" s="282"/>
    </row>
    <row r="431" spans="9:12" x14ac:dyDescent="0.3">
      <c r="I431" s="282"/>
    </row>
    <row r="432" spans="9:12" x14ac:dyDescent="0.3">
      <c r="I432" s="282"/>
    </row>
    <row r="433" spans="9:9" x14ac:dyDescent="0.3">
      <c r="I433" s="282"/>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d8h5whC+pzCdKdPhef9K599wjkEYUSQNcKZPJQ20hdJRTrW0oSAqZgoQm2ouxnLAZD6Ydn9+HY021xDi04Bx9Q==" saltValue="zIEXN5tK6vwWOpUjlNdF7A=="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6" type="noConversion"/>
  <conditionalFormatting sqref="H198 H87:H98">
    <cfRule type="cellIs" dxfId="124" priority="107" stopIfTrue="1" operator="notEqual">
      <formula>0</formula>
    </cfRule>
  </conditionalFormatting>
  <conditionalFormatting sqref="H199">
    <cfRule type="cellIs" dxfId="123" priority="105" stopIfTrue="1" operator="notEqual">
      <formula>0</formula>
    </cfRule>
  </conditionalFormatting>
  <conditionalFormatting sqref="G289:G292 G296:G297">
    <cfRule type="cellIs" dxfId="122" priority="104" stopIfTrue="1" operator="notEqual">
      <formula>0</formula>
    </cfRule>
  </conditionalFormatting>
  <conditionalFormatting sqref="H23">
    <cfRule type="cellIs" dxfId="121" priority="103" stopIfTrue="1" operator="notEqual">
      <formula>0</formula>
    </cfRule>
  </conditionalFormatting>
  <conditionalFormatting sqref="H37:H38">
    <cfRule type="cellIs" dxfId="120" priority="102" stopIfTrue="1" operator="notEqual">
      <formula>0</formula>
    </cfRule>
  </conditionalFormatting>
  <conditionalFormatting sqref="H72">
    <cfRule type="cellIs" dxfId="119" priority="101" stopIfTrue="1" operator="notEqual">
      <formula>0</formula>
    </cfRule>
  </conditionalFormatting>
  <conditionalFormatting sqref="H149">
    <cfRule type="cellIs" dxfId="118" priority="99" stopIfTrue="1" operator="notEqual">
      <formula>0</formula>
    </cfRule>
  </conditionalFormatting>
  <conditionalFormatting sqref="H168">
    <cfRule type="cellIs" dxfId="117" priority="98" stopIfTrue="1" operator="notEqual">
      <formula>0</formula>
    </cfRule>
  </conditionalFormatting>
  <conditionalFormatting sqref="H182">
    <cfRule type="cellIs" dxfId="116" priority="97" stopIfTrue="1" operator="notEqual">
      <formula>0</formula>
    </cfRule>
  </conditionalFormatting>
  <conditionalFormatting sqref="H183">
    <cfRule type="cellIs" dxfId="115"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14" priority="67" stopIfTrue="1" operator="equal">
      <formula>0</formula>
    </cfRule>
  </conditionalFormatting>
  <conditionalFormatting sqref="L260">
    <cfRule type="cellIs" dxfId="113" priority="66" stopIfTrue="1" operator="equal">
      <formula>0</formula>
    </cfRule>
  </conditionalFormatting>
  <conditionalFormatting sqref="G274">
    <cfRule type="cellIs" priority="65" stopIfTrue="1" operator="equal">
      <formula>";;;"</formula>
    </cfRule>
  </conditionalFormatting>
  <conditionalFormatting sqref="G274">
    <cfRule type="cellIs" dxfId="112" priority="64" stopIfTrue="1" operator="equal">
      <formula>0</formula>
    </cfRule>
  </conditionalFormatting>
  <conditionalFormatting sqref="G274">
    <cfRule type="cellIs" dxfId="111" priority="63" stopIfTrue="1" operator="equal">
      <formula>0</formula>
    </cfRule>
  </conditionalFormatting>
  <conditionalFormatting sqref="G273">
    <cfRule type="cellIs" priority="53" stopIfTrue="1" operator="equal">
      <formula>";;;"</formula>
    </cfRule>
  </conditionalFormatting>
  <conditionalFormatting sqref="G273">
    <cfRule type="cellIs" dxfId="110" priority="52" stopIfTrue="1" operator="equal">
      <formula>0</formula>
    </cfRule>
  </conditionalFormatting>
  <conditionalFormatting sqref="G273">
    <cfRule type="cellIs" dxfId="109" priority="51" stopIfTrue="1" operator="equal">
      <formula>0</formula>
    </cfRule>
  </conditionalFormatting>
  <conditionalFormatting sqref="J266">
    <cfRule type="cellIs" priority="50" stopIfTrue="1" operator="equal">
      <formula>";;;"</formula>
    </cfRule>
  </conditionalFormatting>
  <conditionalFormatting sqref="J266">
    <cfRule type="cellIs" dxfId="108" priority="49" stopIfTrue="1" operator="equal">
      <formula>0</formula>
    </cfRule>
  </conditionalFormatting>
  <conditionalFormatting sqref="J266">
    <cfRule type="cellIs" dxfId="107" priority="48" stopIfTrue="1" operator="equal">
      <formula>0</formula>
    </cfRule>
  </conditionalFormatting>
  <conditionalFormatting sqref="G268">
    <cfRule type="cellIs" priority="20" stopIfTrue="1" operator="equal">
      <formula>";;;"</formula>
    </cfRule>
  </conditionalFormatting>
  <conditionalFormatting sqref="G268">
    <cfRule type="cellIs" dxfId="106" priority="19" stopIfTrue="1" operator="equal">
      <formula>0</formula>
    </cfRule>
  </conditionalFormatting>
  <conditionalFormatting sqref="G268">
    <cfRule type="cellIs" dxfId="105" priority="18" stopIfTrue="1" operator="equal">
      <formula>0</formula>
    </cfRule>
  </conditionalFormatting>
  <conditionalFormatting sqref="G266">
    <cfRule type="cellIs" priority="17" stopIfTrue="1" operator="equal">
      <formula>";;;"</formula>
    </cfRule>
  </conditionalFormatting>
  <conditionalFormatting sqref="G266">
    <cfRule type="cellIs" dxfId="104" priority="16" stopIfTrue="1" operator="equal">
      <formula>0</formula>
    </cfRule>
  </conditionalFormatting>
  <conditionalFormatting sqref="G266">
    <cfRule type="cellIs" dxfId="103" priority="15" stopIfTrue="1" operator="equal">
      <formula>0</formula>
    </cfRule>
  </conditionalFormatting>
  <conditionalFormatting sqref="G267">
    <cfRule type="cellIs" priority="14" stopIfTrue="1" operator="equal">
      <formula>";;;"</formula>
    </cfRule>
  </conditionalFormatting>
  <conditionalFormatting sqref="G267">
    <cfRule type="cellIs" dxfId="102" priority="13" stopIfTrue="1" operator="equal">
      <formula>0</formula>
    </cfRule>
  </conditionalFormatting>
  <conditionalFormatting sqref="G267">
    <cfRule type="cellIs" dxfId="101" priority="12" stopIfTrue="1" operator="equal">
      <formula>0</formula>
    </cfRule>
  </conditionalFormatting>
  <conditionalFormatting sqref="G270">
    <cfRule type="cellIs" priority="11" stopIfTrue="1" operator="equal">
      <formula>";;;"</formula>
    </cfRule>
  </conditionalFormatting>
  <conditionalFormatting sqref="G270">
    <cfRule type="cellIs" dxfId="100" priority="10" stopIfTrue="1" operator="equal">
      <formula>0</formula>
    </cfRule>
  </conditionalFormatting>
  <conditionalFormatting sqref="G270">
    <cfRule type="cellIs" dxfId="99" priority="9" stopIfTrue="1" operator="equal">
      <formula>0</formula>
    </cfRule>
  </conditionalFormatting>
  <conditionalFormatting sqref="G272">
    <cfRule type="cellIs" priority="3" stopIfTrue="1" operator="equal">
      <formula>";;;"</formula>
    </cfRule>
  </conditionalFormatting>
  <conditionalFormatting sqref="G272">
    <cfRule type="cellIs" dxfId="98" priority="2" stopIfTrue="1" operator="equal">
      <formula>0</formula>
    </cfRule>
  </conditionalFormatting>
  <conditionalFormatting sqref="G272">
    <cfRule type="cellIs" dxfId="97"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0" max="43" width="9.33203125" style="195"/>
    <col min="44" max="16384" width="9.33203125" style="194"/>
  </cols>
  <sheetData>
    <row r="1" spans="1:43" ht="87" customHeight="1" thickBot="1" x14ac:dyDescent="0.35">
      <c r="B1" s="1109" t="s">
        <v>1173</v>
      </c>
      <c r="C1" s="1110"/>
      <c r="D1" s="1110"/>
      <c r="E1" s="1110"/>
      <c r="F1" s="1110"/>
      <c r="G1" s="1110"/>
      <c r="H1" s="1110"/>
      <c r="I1" s="1110"/>
      <c r="J1" s="1111"/>
    </row>
    <row r="2" spans="1:43" s="196" customFormat="1" ht="16.8" hidden="1" thickBot="1" x14ac:dyDescent="0.35">
      <c r="B2" s="1112" t="s">
        <v>554</v>
      </c>
      <c r="C2" s="1113"/>
      <c r="D2" s="1113"/>
      <c r="E2" s="1113"/>
      <c r="F2" s="1113"/>
      <c r="G2" s="1113"/>
      <c r="H2" s="1113"/>
      <c r="I2" s="1113"/>
      <c r="J2" s="1114"/>
      <c r="K2"/>
      <c r="L2"/>
      <c r="M2"/>
      <c r="N2"/>
      <c r="O2"/>
      <c r="P2"/>
      <c r="Q2"/>
      <c r="R2"/>
      <c r="S2"/>
      <c r="T2"/>
      <c r="U2"/>
      <c r="V2"/>
      <c r="W2"/>
      <c r="X2"/>
      <c r="Y2"/>
      <c r="Z2"/>
      <c r="AA2"/>
      <c r="AB2"/>
      <c r="AC2"/>
      <c r="AD2"/>
      <c r="AE2"/>
      <c r="AF2"/>
      <c r="AG2"/>
      <c r="AH2"/>
      <c r="AI2"/>
      <c r="AJ2"/>
      <c r="AK2"/>
      <c r="AL2"/>
      <c r="AM2"/>
      <c r="AN2" s="195"/>
      <c r="AO2" s="195"/>
      <c r="AP2" s="195"/>
      <c r="AQ2" s="195"/>
    </row>
    <row r="3" spans="1:43" s="198" customFormat="1" ht="39" hidden="1" customHeight="1" thickBot="1" x14ac:dyDescent="0.35">
      <c r="A3" s="194"/>
      <c r="B3" s="1115" t="s">
        <v>555</v>
      </c>
      <c r="C3" s="1116"/>
      <c r="D3" s="1116"/>
      <c r="E3" s="1116"/>
      <c r="F3" s="1116"/>
      <c r="G3" s="1116"/>
      <c r="H3" s="1116"/>
      <c r="I3" s="1116"/>
      <c r="J3" s="1117"/>
      <c r="K3"/>
      <c r="L3"/>
      <c r="M3"/>
      <c r="N3"/>
      <c r="O3"/>
      <c r="P3"/>
      <c r="Q3"/>
      <c r="R3"/>
      <c r="S3"/>
      <c r="T3"/>
      <c r="U3"/>
      <c r="V3"/>
      <c r="W3"/>
      <c r="X3"/>
      <c r="Y3"/>
      <c r="Z3"/>
      <c r="AA3"/>
      <c r="AB3"/>
      <c r="AC3"/>
      <c r="AD3"/>
      <c r="AE3"/>
      <c r="AF3"/>
      <c r="AG3"/>
      <c r="AH3"/>
      <c r="AI3"/>
      <c r="AJ3"/>
      <c r="AK3"/>
      <c r="AL3"/>
      <c r="AM3"/>
      <c r="AN3" s="197"/>
      <c r="AO3" s="197"/>
      <c r="AP3" s="197"/>
      <c r="AQ3" s="197"/>
    </row>
    <row r="4" spans="1:43" ht="20.25" customHeight="1" x14ac:dyDescent="0.3">
      <c r="B4" s="1042" t="s">
        <v>1174</v>
      </c>
      <c r="C4" s="1043"/>
      <c r="D4" s="1043"/>
      <c r="E4" s="1043"/>
      <c r="F4" s="1044"/>
      <c r="G4" s="1044"/>
      <c r="H4" s="1044"/>
      <c r="I4" s="1044"/>
      <c r="J4" s="1045"/>
    </row>
    <row r="5" spans="1:43" ht="27" hidden="1" customHeight="1" x14ac:dyDescent="0.3">
      <c r="B5" s="1106" t="s">
        <v>1000</v>
      </c>
      <c r="C5" s="1107"/>
      <c r="D5" s="1107"/>
      <c r="E5" s="1107"/>
      <c r="F5" s="1107"/>
      <c r="G5" s="1107"/>
      <c r="H5" s="1107"/>
      <c r="I5" s="1107"/>
      <c r="J5" s="1108"/>
    </row>
    <row r="6" spans="1:43" ht="27" hidden="1" customHeight="1" x14ac:dyDescent="0.3">
      <c r="B6" s="753"/>
      <c r="C6" s="754"/>
      <c r="D6" s="754"/>
      <c r="E6" s="754"/>
      <c r="F6" s="754"/>
      <c r="G6" s="754"/>
      <c r="H6" s="754"/>
      <c r="I6" s="754"/>
      <c r="J6" s="755"/>
    </row>
    <row r="7" spans="1:43" ht="20.25" customHeight="1" thickBot="1" x14ac:dyDescent="0.35">
      <c r="B7" s="1103" t="s">
        <v>1175</v>
      </c>
      <c r="C7" s="1104"/>
      <c r="D7" s="1104"/>
      <c r="E7" s="1104"/>
      <c r="F7" s="1104"/>
      <c r="G7" s="1104"/>
      <c r="H7" s="1104"/>
      <c r="I7" s="1104"/>
      <c r="J7" s="1105"/>
    </row>
    <row r="8" spans="1:43" ht="39" hidden="1" customHeight="1" thickBot="1" x14ac:dyDescent="0.35">
      <c r="B8" s="199"/>
      <c r="C8" s="200"/>
      <c r="D8" s="201" t="s">
        <v>556</v>
      </c>
      <c r="E8" s="202"/>
      <c r="F8" s="203"/>
      <c r="G8" s="203"/>
      <c r="H8" s="203"/>
      <c r="I8" s="203"/>
      <c r="J8" s="204"/>
    </row>
    <row r="9" spans="1:43" s="205" customFormat="1" ht="15" hidden="1" thickBot="1" x14ac:dyDescent="0.35">
      <c r="B9" s="206"/>
      <c r="C9" s="207"/>
      <c r="D9" s="256" t="s">
        <v>467</v>
      </c>
      <c r="E9" s="208"/>
      <c r="F9" s="208"/>
      <c r="G9" s="208"/>
      <c r="H9" s="209"/>
      <c r="I9" s="209"/>
      <c r="J9" s="210"/>
      <c r="K9"/>
      <c r="L9"/>
      <c r="M9"/>
      <c r="N9"/>
      <c r="O9"/>
      <c r="P9"/>
      <c r="Q9"/>
      <c r="R9"/>
      <c r="S9"/>
      <c r="T9"/>
      <c r="U9"/>
      <c r="V9"/>
      <c r="W9"/>
      <c r="X9"/>
      <c r="Y9"/>
      <c r="Z9"/>
      <c r="AA9"/>
      <c r="AB9"/>
      <c r="AC9"/>
      <c r="AD9"/>
      <c r="AE9"/>
      <c r="AF9"/>
      <c r="AG9"/>
      <c r="AH9"/>
      <c r="AI9"/>
      <c r="AJ9"/>
      <c r="AK9"/>
      <c r="AL9"/>
      <c r="AM9"/>
      <c r="AN9" s="195"/>
      <c r="AO9" s="195"/>
      <c r="AP9" s="195"/>
      <c r="AQ9" s="195"/>
    </row>
    <row r="10" spans="1:43" ht="19.5" hidden="1" customHeight="1" thickBot="1" x14ac:dyDescent="0.35">
      <c r="B10" s="211"/>
      <c r="C10" s="212"/>
      <c r="D10" s="288" t="s">
        <v>682</v>
      </c>
      <c r="E10" s="1092" t="s">
        <v>557</v>
      </c>
      <c r="F10" s="1092"/>
      <c r="G10" s="1087"/>
      <c r="H10" s="1088"/>
      <c r="I10" s="1089"/>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289" t="s">
        <v>683</v>
      </c>
      <c r="E12" s="1092" t="s">
        <v>758</v>
      </c>
      <c r="F12" s="1092"/>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092" t="s">
        <v>558</v>
      </c>
      <c r="F14" s="1092"/>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618</v>
      </c>
      <c r="E16" s="1121" t="s">
        <v>559</v>
      </c>
      <c r="F16" s="1121"/>
      <c r="G16" s="1122"/>
      <c r="H16" s="1088"/>
      <c r="I16" s="1089"/>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619</v>
      </c>
      <c r="E18" s="1121" t="s">
        <v>560</v>
      </c>
      <c r="F18" s="1121"/>
      <c r="G18" s="1087"/>
      <c r="H18" s="1088"/>
      <c r="I18" s="1089"/>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620</v>
      </c>
      <c r="E20" s="1121" t="s">
        <v>561</v>
      </c>
      <c r="F20" s="1121"/>
      <c r="G20" s="1087"/>
      <c r="H20" s="1088"/>
      <c r="I20" s="1089"/>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621</v>
      </c>
      <c r="E22" s="1121" t="s">
        <v>562</v>
      </c>
      <c r="F22" s="1121"/>
      <c r="G22" s="1122"/>
      <c r="H22" s="1088"/>
      <c r="I22" s="1089"/>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622</v>
      </c>
      <c r="E24" s="1121" t="s">
        <v>563</v>
      </c>
      <c r="F24" s="1121"/>
      <c r="G24" s="1122"/>
      <c r="H24" s="1088"/>
      <c r="I24" s="1089"/>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684</v>
      </c>
      <c r="E26" s="1092" t="s">
        <v>564</v>
      </c>
      <c r="F26" s="1092"/>
      <c r="G26" s="1123"/>
      <c r="H26" s="1124"/>
      <c r="I26" s="219"/>
      <c r="J26" s="213"/>
    </row>
    <row r="27" spans="2:10" ht="28.5" hidden="1" customHeight="1" thickBot="1" x14ac:dyDescent="0.35">
      <c r="B27" s="211"/>
      <c r="C27" s="212"/>
      <c r="D27" s="262"/>
      <c r="E27" s="1125" t="str">
        <f>IF(G26="Housing Authority", CONCATENATE("SKIP Questions ",D28,"-",D66),"")</f>
        <v/>
      </c>
      <c r="F27" s="1125"/>
      <c r="G27" s="1125"/>
      <c r="H27" s="1125"/>
      <c r="I27" s="219"/>
      <c r="J27" s="213"/>
    </row>
    <row r="28" spans="2:10" ht="28.5" hidden="1" customHeight="1" thickBot="1" x14ac:dyDescent="0.35">
      <c r="B28" s="211"/>
      <c r="C28" s="212"/>
      <c r="D28" s="262" t="s">
        <v>624</v>
      </c>
      <c r="E28" s="1092" t="s">
        <v>565</v>
      </c>
      <c r="F28" s="1092"/>
      <c r="G28" s="220"/>
      <c r="H28" s="1126">
        <f>+O28</f>
        <v>0</v>
      </c>
      <c r="I28" s="1127"/>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623</v>
      </c>
      <c r="E30" s="1092" t="s">
        <v>566</v>
      </c>
      <c r="F30" s="1092"/>
      <c r="G30" s="223"/>
      <c r="H30" s="1128"/>
      <c r="I30" s="1128"/>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625</v>
      </c>
      <c r="E32" s="1129" t="s">
        <v>567</v>
      </c>
      <c r="F32" s="1130"/>
      <c r="G32" s="1118"/>
      <c r="H32" s="1119"/>
      <c r="I32" s="1120"/>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626</v>
      </c>
      <c r="E34" s="217" t="s">
        <v>568</v>
      </c>
      <c r="F34" s="217"/>
      <c r="G34" s="1087"/>
      <c r="H34" s="1088"/>
      <c r="I34" s="1089"/>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627</v>
      </c>
      <c r="E36" s="1092" t="s">
        <v>569</v>
      </c>
      <c r="F36" s="1098"/>
      <c r="G36" s="1087"/>
      <c r="H36" s="1088"/>
      <c r="I36" s="1089"/>
      <c r="J36" s="213"/>
    </row>
    <row r="37" spans="2:10" ht="8.25" hidden="1" customHeight="1" thickBot="1" x14ac:dyDescent="0.35">
      <c r="B37" s="211"/>
      <c r="C37" s="212"/>
      <c r="D37" s="256"/>
      <c r="E37" s="1099"/>
      <c r="F37" s="1099"/>
      <c r="G37" s="1099"/>
      <c r="H37" s="1099"/>
      <c r="I37" s="219"/>
      <c r="J37" s="213"/>
    </row>
    <row r="38" spans="2:10" ht="39" customHeight="1" thickBot="1" x14ac:dyDescent="0.35">
      <c r="B38" s="1100" t="s">
        <v>999</v>
      </c>
      <c r="C38" s="1101"/>
      <c r="D38" s="1101"/>
      <c r="E38" s="1101"/>
      <c r="F38" s="1101"/>
      <c r="G38" s="1101"/>
      <c r="H38" s="1101"/>
      <c r="I38" s="1101"/>
      <c r="J38" s="1102"/>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092" t="s">
        <v>570</v>
      </c>
      <c r="F41" s="1092"/>
      <c r="G41" s="220"/>
      <c r="H41" s="287"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092" t="s">
        <v>571</v>
      </c>
      <c r="F43" s="1092"/>
      <c r="G43" s="220"/>
      <c r="H43" s="287"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092" t="s">
        <v>572</v>
      </c>
      <c r="F45" s="1092"/>
      <c r="G45" s="220"/>
      <c r="H45" s="287"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092" t="s">
        <v>573</v>
      </c>
      <c r="F47" s="1092"/>
      <c r="G47" s="220"/>
      <c r="H47" s="287"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092" t="s">
        <v>574</v>
      </c>
      <c r="F49" s="1092"/>
      <c r="G49" s="225"/>
      <c r="H49" s="287"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092" t="s">
        <v>575</v>
      </c>
      <c r="F51" s="1092"/>
      <c r="G51" s="225"/>
      <c r="H51" s="287" t="str">
        <f>IF(G51="","This Question must be answered before uploading, the report will not be processed if left blank","")</f>
        <v>This Question must be answered before uploading, the report will not be processed if left blank</v>
      </c>
      <c r="I51" s="226"/>
      <c r="J51" s="227"/>
    </row>
    <row r="52" spans="2:43" ht="9.75" customHeight="1" thickBot="1" x14ac:dyDescent="0.35">
      <c r="B52" s="211"/>
      <c r="C52" s="212"/>
      <c r="D52" s="257"/>
      <c r="E52" s="208"/>
      <c r="F52" s="208"/>
      <c r="G52" s="212"/>
      <c r="H52" s="212"/>
      <c r="I52" s="212"/>
      <c r="J52" s="213"/>
    </row>
    <row r="53" spans="2:43" ht="35.1" hidden="1" customHeight="1" thickBot="1" x14ac:dyDescent="0.35">
      <c r="B53" s="211"/>
      <c r="C53" s="212"/>
      <c r="D53" s="256">
        <v>959</v>
      </c>
      <c r="E53" s="1097" t="s">
        <v>751</v>
      </c>
      <c r="F53" s="1097"/>
      <c r="G53" s="220"/>
      <c r="H53" s="287" t="str">
        <f>IF(G53="","This Question must be answered before uploading, the report will not be processed if left blank","")</f>
        <v>This Question must be answered before uploading, the report will not be processed if left blank</v>
      </c>
      <c r="I53" s="212"/>
      <c r="J53" s="213"/>
    </row>
    <row r="54" spans="2:43" ht="8.25" hidden="1" customHeight="1" thickBot="1" x14ac:dyDescent="0.35">
      <c r="B54" s="211"/>
      <c r="C54" s="212"/>
      <c r="D54" s="256"/>
      <c r="E54" s="361"/>
      <c r="F54" s="361"/>
      <c r="G54" s="212"/>
      <c r="H54" s="212"/>
      <c r="I54" s="212"/>
      <c r="J54" s="213"/>
    </row>
    <row r="55" spans="2:43" ht="67.5" hidden="1" customHeight="1" thickBot="1" x14ac:dyDescent="0.35">
      <c r="B55" s="211"/>
      <c r="C55" s="228"/>
      <c r="D55" s="256">
        <v>973</v>
      </c>
      <c r="E55" s="1097" t="s">
        <v>814</v>
      </c>
      <c r="F55" s="1097"/>
      <c r="G55" s="366"/>
      <c r="H55" s="287" t="str">
        <f>IF(G55="","This Question must be answered before uploading, the report will not be processed if left blank","")</f>
        <v>This Question must be answered before uploading, the report will not be processed if left blank</v>
      </c>
      <c r="I55" s="275"/>
      <c r="J55" s="213"/>
    </row>
    <row r="56" spans="2:43" ht="6.75" hidden="1" customHeight="1" thickBot="1" x14ac:dyDescent="0.35">
      <c r="B56" s="211"/>
      <c r="C56" s="228"/>
      <c r="D56" s="259"/>
      <c r="E56" s="208"/>
      <c r="F56" s="208"/>
      <c r="G56" s="255"/>
      <c r="H56" s="212"/>
      <c r="I56" s="212"/>
      <c r="J56" s="213"/>
    </row>
    <row r="57" spans="2:43" ht="78" hidden="1" customHeight="1" thickBot="1" x14ac:dyDescent="0.35">
      <c r="B57" s="211"/>
      <c r="C57" s="212"/>
      <c r="D57" s="256">
        <v>974</v>
      </c>
      <c r="E57" s="1092" t="s">
        <v>755</v>
      </c>
      <c r="F57" s="1096"/>
      <c r="G57" s="220"/>
      <c r="H57" s="286" t="str">
        <f>IF(G57="","This Question must be answered before uploading, the report will not be processed if left blank","")</f>
        <v>This Question must be answered before uploading, the report will not be processed if left blank</v>
      </c>
      <c r="I57" s="229"/>
      <c r="J57" s="213"/>
    </row>
    <row r="58" spans="2:43" ht="20.399999999999999" hidden="1" customHeight="1" x14ac:dyDescent="0.3">
      <c r="B58" s="211"/>
      <c r="C58" s="212"/>
      <c r="D58" s="256"/>
      <c r="E58" s="217"/>
      <c r="F58" s="217"/>
      <c r="G58" s="221"/>
      <c r="H58" s="212"/>
      <c r="I58" s="212"/>
      <c r="J58" s="213"/>
    </row>
    <row r="59" spans="2:43" ht="6.75" hidden="1" customHeight="1" thickBot="1" x14ac:dyDescent="0.3">
      <c r="B59" s="211"/>
      <c r="C59" s="212"/>
      <c r="D59" s="256"/>
      <c r="E59" s="217"/>
      <c r="F59" s="217"/>
      <c r="G59" s="221"/>
      <c r="H59" s="208"/>
      <c r="I59" s="212"/>
      <c r="J59" s="213"/>
    </row>
    <row r="60" spans="2:43" ht="21" hidden="1" customHeight="1" thickBot="1" x14ac:dyDescent="0.35">
      <c r="B60" s="211"/>
      <c r="C60" s="212"/>
      <c r="D60" s="256">
        <v>965</v>
      </c>
      <c r="E60" s="1092" t="s">
        <v>576</v>
      </c>
      <c r="F60" s="1092"/>
      <c r="G60" s="223"/>
      <c r="H60" s="287" t="str">
        <f>IF(G60="","This Question must be answered before uploading, the report will not be processed if left blank","")</f>
        <v>This Question must be answered before uploading, the report will not be processed if left blank</v>
      </c>
      <c r="I60" s="222"/>
      <c r="J60" s="213"/>
    </row>
    <row r="61" spans="2:43" ht="11.4" hidden="1"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685</v>
      </c>
      <c r="E62" s="232" t="s">
        <v>577</v>
      </c>
      <c r="F62" s="233" t="str">
        <f>IF(G62="Yes", "Please Submit Management Letter","")</f>
        <v/>
      </c>
      <c r="G62" s="220"/>
      <c r="H62" s="287" t="str">
        <f>IF(G62="","This Question must be answered before uploading, the report will not be processed if left blank","")</f>
        <v>This Question must be answered before uploading, the report will not be processed if left blank</v>
      </c>
      <c r="I62" s="274"/>
      <c r="J62" s="213"/>
      <c r="K62"/>
      <c r="L62"/>
      <c r="M62"/>
      <c r="N62"/>
      <c r="O62"/>
      <c r="P62"/>
      <c r="Q62"/>
      <c r="R62"/>
      <c r="S62"/>
      <c r="T62"/>
      <c r="U62"/>
      <c r="V62"/>
      <c r="W62"/>
      <c r="X62"/>
      <c r="Y62"/>
      <c r="Z62"/>
      <c r="AA62"/>
      <c r="AB62"/>
      <c r="AC62"/>
      <c r="AD62"/>
      <c r="AE62"/>
      <c r="AF62"/>
      <c r="AG62"/>
      <c r="AH62"/>
      <c r="AI62"/>
      <c r="AJ62"/>
      <c r="AK62"/>
      <c r="AL62"/>
      <c r="AM62"/>
      <c r="AN62" s="224"/>
      <c r="AO62" s="224"/>
      <c r="AP62" s="224"/>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s="224"/>
      <c r="AO63" s="224"/>
      <c r="AP63" s="224"/>
      <c r="AQ63" s="224"/>
    </row>
    <row r="64" spans="2:43" s="234" customFormat="1" ht="31.5" customHeight="1" thickBot="1" x14ac:dyDescent="0.35">
      <c r="B64" s="230"/>
      <c r="C64" s="231"/>
      <c r="D64" s="256" t="s">
        <v>686</v>
      </c>
      <c r="E64" s="232" t="s">
        <v>578</v>
      </c>
      <c r="F64" s="233" t="str">
        <f>IF(G64="Yes", "Please Submit AU-C 260 Letter","")</f>
        <v/>
      </c>
      <c r="G64" s="220"/>
      <c r="H64" s="287" t="str">
        <f>IF(G64="","This Question must be answered before uploading, the report will not be processed if left blank","")</f>
        <v>This Question must be answered before uploading, the report will not be processed if left blank</v>
      </c>
      <c r="I64" s="274"/>
      <c r="J64" s="213"/>
      <c r="K64"/>
      <c r="L64"/>
      <c r="M64"/>
      <c r="N64"/>
      <c r="O64"/>
      <c r="P64"/>
      <c r="Q64"/>
      <c r="R64"/>
      <c r="S64"/>
      <c r="T64"/>
      <c r="U64"/>
      <c r="V64"/>
      <c r="W64"/>
      <c r="X64"/>
      <c r="Y64"/>
      <c r="Z64"/>
      <c r="AA64"/>
      <c r="AB64"/>
      <c r="AC64"/>
      <c r="AD64"/>
      <c r="AE64"/>
      <c r="AF64"/>
      <c r="AG64"/>
      <c r="AH64"/>
      <c r="AI64"/>
      <c r="AJ64"/>
      <c r="AK64"/>
      <c r="AL64"/>
      <c r="AM64"/>
      <c r="AN64" s="224"/>
      <c r="AO64" s="224"/>
      <c r="AP64" s="22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s="224"/>
      <c r="AO65" s="224"/>
      <c r="AP65" s="224"/>
      <c r="AQ65" s="224"/>
    </row>
    <row r="66" spans="2:43" s="234" customFormat="1" ht="33.75" customHeight="1" thickBot="1" x14ac:dyDescent="0.35">
      <c r="B66" s="230"/>
      <c r="C66" s="231"/>
      <c r="D66" s="256" t="s">
        <v>687</v>
      </c>
      <c r="E66" s="232" t="s">
        <v>579</v>
      </c>
      <c r="F66" s="233" t="str">
        <f>IF(G66="Yes", "Please Submit AU-C 265 Letter","")</f>
        <v/>
      </c>
      <c r="G66" s="220"/>
      <c r="H66" s="287" t="str">
        <f>IF(G66="","This Question must be answered before uploading, the report will not be processed if left blank","")</f>
        <v>This Question must be answered before uploading, the report will not be processed if left blank</v>
      </c>
      <c r="I66" s="274"/>
      <c r="J66" s="213"/>
      <c r="K66"/>
      <c r="L66"/>
      <c r="M66"/>
      <c r="N66"/>
      <c r="O66"/>
      <c r="P66"/>
      <c r="Q66"/>
      <c r="R66"/>
      <c r="S66"/>
      <c r="T66"/>
      <c r="U66"/>
      <c r="V66"/>
      <c r="W66"/>
      <c r="X66"/>
      <c r="Y66"/>
      <c r="Z66"/>
      <c r="AA66"/>
      <c r="AB66"/>
      <c r="AC66"/>
      <c r="AD66"/>
      <c r="AE66"/>
      <c r="AF66"/>
      <c r="AG66"/>
      <c r="AH66"/>
      <c r="AI66"/>
      <c r="AJ66"/>
      <c r="AK66"/>
      <c r="AL66"/>
      <c r="AM66"/>
      <c r="AN66" s="224"/>
      <c r="AO66" s="224"/>
      <c r="AP66" s="224"/>
      <c r="AQ66" s="224"/>
    </row>
    <row r="67" spans="2:43" ht="6.75" hidden="1" customHeight="1" thickBot="1" x14ac:dyDescent="0.35">
      <c r="B67" s="211"/>
      <c r="C67" s="212"/>
      <c r="D67" s="257"/>
      <c r="E67" s="238"/>
      <c r="F67" s="238"/>
      <c r="G67" s="215"/>
      <c r="H67" s="208"/>
      <c r="I67" s="208"/>
      <c r="J67" s="213"/>
    </row>
    <row r="68" spans="2:43" s="234" customFormat="1" ht="35.25" hidden="1" customHeight="1" thickBot="1" x14ac:dyDescent="0.35">
      <c r="B68" s="230"/>
      <c r="C68" s="215"/>
      <c r="D68" s="369">
        <v>977</v>
      </c>
      <c r="E68" s="1093" t="s">
        <v>736</v>
      </c>
      <c r="F68" s="1094"/>
      <c r="G68" s="367"/>
      <c r="H68" s="287"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s="224"/>
      <c r="AO68" s="224"/>
      <c r="AP68" s="224"/>
      <c r="AQ68" s="224"/>
    </row>
    <row r="69" spans="2:43" s="234" customFormat="1" ht="8.25" hidden="1"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s="224"/>
      <c r="AO69" s="224"/>
      <c r="AP69" s="224"/>
      <c r="AQ69" s="224"/>
    </row>
    <row r="70" spans="2:43" s="234" customFormat="1" ht="30" hidden="1" customHeight="1" thickBot="1" x14ac:dyDescent="0.35">
      <c r="B70" s="230"/>
      <c r="C70" s="215"/>
      <c r="D70" s="369">
        <v>978</v>
      </c>
      <c r="E70" s="1093" t="s">
        <v>629</v>
      </c>
      <c r="F70" s="1094"/>
      <c r="G70" s="367"/>
      <c r="H70" s="287"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s="224"/>
      <c r="AO70" s="224"/>
      <c r="AP70" s="224"/>
      <c r="AQ70" s="224"/>
    </row>
    <row r="71" spans="2:43" s="234" customFormat="1" ht="8.25" hidden="1" customHeight="1" thickBot="1" x14ac:dyDescent="0.35">
      <c r="B71" s="230"/>
      <c r="C71" s="215"/>
      <c r="D71" s="369"/>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s="224"/>
      <c r="AO71" s="224"/>
      <c r="AP71" s="224"/>
      <c r="AQ71" s="224"/>
    </row>
    <row r="72" spans="2:43" s="234" customFormat="1" ht="36.75" hidden="1" customHeight="1" thickBot="1" x14ac:dyDescent="0.35">
      <c r="B72" s="230"/>
      <c r="C72" s="215"/>
      <c r="D72" s="369">
        <v>979</v>
      </c>
      <c r="E72" s="1093" t="s">
        <v>1040</v>
      </c>
      <c r="F72" s="1094"/>
      <c r="G72" s="367"/>
      <c r="H72" s="287"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s="224"/>
      <c r="AO72" s="224"/>
      <c r="AP72" s="224"/>
      <c r="AQ72" s="224"/>
    </row>
    <row r="73" spans="2:43" s="266" customFormat="1" ht="6.75" hidden="1"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s="267"/>
      <c r="AO73" s="267"/>
      <c r="AP73" s="267"/>
      <c r="AQ73" s="267"/>
    </row>
    <row r="74" spans="2:43" s="234" customFormat="1" ht="39" hidden="1" customHeight="1" thickBot="1" x14ac:dyDescent="0.35">
      <c r="B74" s="230"/>
      <c r="C74" s="215"/>
      <c r="D74" s="369">
        <v>980</v>
      </c>
      <c r="E74" s="1095" t="s">
        <v>628</v>
      </c>
      <c r="F74" s="1095"/>
      <c r="G74" s="368"/>
      <c r="H74" s="287"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s="224"/>
      <c r="AO74" s="224"/>
      <c r="AP74" s="224"/>
      <c r="AQ74" s="224"/>
    </row>
    <row r="75" spans="2:43" ht="7.5" hidden="1" customHeight="1" thickBot="1" x14ac:dyDescent="0.35">
      <c r="B75" s="211"/>
      <c r="C75" s="212"/>
      <c r="D75" s="256"/>
      <c r="E75" s="946"/>
      <c r="F75" s="946"/>
      <c r="G75" s="221"/>
      <c r="H75" s="212"/>
      <c r="I75" s="212"/>
      <c r="J75" s="213"/>
    </row>
    <row r="76" spans="2:43" ht="32.25" hidden="1" customHeight="1" thickBot="1" x14ac:dyDescent="0.35">
      <c r="B76" s="211"/>
      <c r="C76" s="228"/>
      <c r="D76" s="256">
        <v>975</v>
      </c>
      <c r="E76" s="1092" t="s">
        <v>631</v>
      </c>
      <c r="F76" s="1096"/>
      <c r="G76" s="220"/>
      <c r="H76" s="286" t="str">
        <f>IF(G76="","This Question must be answered before uploading, the report will not be processed if left blank","")</f>
        <v>This Question must be answered before uploading, the report will not be processed if left blank</v>
      </c>
      <c r="I76" s="226"/>
      <c r="J76" s="227"/>
    </row>
    <row r="77" spans="2:43" s="266" customFormat="1" ht="6.75" hidden="1" customHeight="1" thickBot="1" x14ac:dyDescent="0.35">
      <c r="B77" s="230"/>
      <c r="C77" s="215"/>
      <c r="D77" s="256"/>
      <c r="E77" s="930"/>
      <c r="F77" s="265"/>
      <c r="G77" s="221"/>
      <c r="H77" s="931"/>
      <c r="I77" s="222"/>
      <c r="J77" s="213"/>
      <c r="K77"/>
      <c r="L77"/>
      <c r="M77"/>
      <c r="N77"/>
      <c r="O77"/>
      <c r="P77"/>
      <c r="Q77"/>
      <c r="R77"/>
      <c r="S77"/>
      <c r="T77"/>
      <c r="U77"/>
      <c r="V77"/>
      <c r="W77"/>
      <c r="X77"/>
      <c r="Y77"/>
      <c r="Z77"/>
      <c r="AA77"/>
      <c r="AB77"/>
      <c r="AC77"/>
      <c r="AD77"/>
      <c r="AE77"/>
      <c r="AF77"/>
      <c r="AG77"/>
      <c r="AH77"/>
      <c r="AI77"/>
      <c r="AJ77"/>
      <c r="AK77"/>
      <c r="AL77"/>
      <c r="AM77"/>
      <c r="AN77" s="267"/>
      <c r="AO77" s="267"/>
      <c r="AP77" s="267"/>
      <c r="AQ77" s="267"/>
    </row>
    <row r="78" spans="2:43" ht="61.5" hidden="1" customHeight="1" thickBot="1" x14ac:dyDescent="0.35">
      <c r="B78" s="211"/>
      <c r="C78" s="228"/>
      <c r="D78" s="256">
        <v>976</v>
      </c>
      <c r="E78" s="1092" t="s">
        <v>710</v>
      </c>
      <c r="F78" s="1096"/>
      <c r="G78" s="220"/>
      <c r="H78" s="286"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72"/>
      <c r="H79" s="203"/>
      <c r="I79" s="203"/>
      <c r="J79" s="204"/>
    </row>
    <row r="80" spans="2:43" ht="10.5" customHeight="1" thickBot="1" x14ac:dyDescent="0.35">
      <c r="B80" s="211"/>
      <c r="C80" s="212"/>
      <c r="D80" s="257"/>
      <c r="E80" s="1068"/>
      <c r="F80" s="1068"/>
      <c r="G80" s="215"/>
      <c r="H80" s="212"/>
      <c r="I80" s="212"/>
      <c r="J80" s="213"/>
    </row>
    <row r="81" spans="1:10" ht="34.799999999999997" customHeight="1" thickBot="1" x14ac:dyDescent="0.35">
      <c r="B81" s="211"/>
      <c r="C81" s="212"/>
      <c r="D81" s="257" t="s">
        <v>688</v>
      </c>
      <c r="E81" s="1070" t="str">
        <f>IF(G81="","This Question must be answered before uploading, the report will not be processed if left blank","")</f>
        <v>This Question must be answered before uploading, the report will not be processed if left blank</v>
      </c>
      <c r="F81" s="1067" t="s">
        <v>580</v>
      </c>
      <c r="G81" s="1087"/>
      <c r="H81" s="1088"/>
      <c r="I81" s="1089"/>
      <c r="J81" s="213"/>
    </row>
    <row r="82" spans="1:10" ht="6.75" customHeight="1" thickBot="1" x14ac:dyDescent="0.35">
      <c r="B82" s="211"/>
      <c r="C82" s="212"/>
      <c r="D82" s="257"/>
      <c r="E82" s="238"/>
      <c r="F82" s="238"/>
      <c r="G82" s="215"/>
      <c r="H82" s="215"/>
      <c r="I82" s="215"/>
      <c r="J82" s="213"/>
    </row>
    <row r="83" spans="1:10" ht="31.2" customHeight="1" thickBot="1" x14ac:dyDescent="0.35">
      <c r="B83" s="211"/>
      <c r="C83" s="212"/>
      <c r="D83" s="257" t="s">
        <v>689</v>
      </c>
      <c r="E83" s="1070" t="str">
        <f>IF(G83="","This Question must be answered before uploading, the report will not be processed if left blank","")</f>
        <v>This Question must be answered before uploading, the report will not be processed if left blank</v>
      </c>
      <c r="F83" s="1067" t="s">
        <v>581</v>
      </c>
      <c r="G83" s="1087"/>
      <c r="H83" s="1088"/>
      <c r="I83" s="1089"/>
      <c r="J83" s="213"/>
    </row>
    <row r="84" spans="1:10" ht="6.75" customHeight="1" thickBot="1" x14ac:dyDescent="0.35">
      <c r="B84" s="211"/>
      <c r="C84" s="212"/>
      <c r="D84" s="257"/>
      <c r="E84" s="238"/>
      <c r="F84" s="238"/>
      <c r="G84" s="239"/>
      <c r="H84" s="215"/>
      <c r="I84" s="215"/>
      <c r="J84" s="213"/>
    </row>
    <row r="85" spans="1:10" ht="40.799999999999997" customHeight="1" thickBot="1" x14ac:dyDescent="0.35">
      <c r="B85" s="211"/>
      <c r="C85" s="212"/>
      <c r="D85" s="257" t="s">
        <v>1171</v>
      </c>
      <c r="E85" s="1070" t="str">
        <f>IF(G85="","This Question must be answered before uploading, the report will not be processed if left blank","")</f>
        <v>This Question must be answered before uploading, the report will not be processed if left blank</v>
      </c>
      <c r="F85" s="1067" t="s">
        <v>759</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090"/>
      <c r="F87" s="1090"/>
      <c r="G87" s="240" t="str">
        <f>CONCATENATE(G10," 2021 TD.xlsx")</f>
        <v xml:space="preserve"> 2021 TD.xlsx</v>
      </c>
      <c r="H87" s="240"/>
      <c r="I87" s="241"/>
      <c r="J87" s="213"/>
    </row>
    <row r="88" spans="1:10" ht="15.6" customHeight="1" x14ac:dyDescent="0.3">
      <c r="B88" s="211"/>
      <c r="C88" s="212"/>
      <c r="D88" s="1069"/>
      <c r="E88" s="1069"/>
      <c r="F88" s="1069"/>
      <c r="G88" s="1091" t="str">
        <f>IF(G11="","","Please review the Transmittal Instructions and your answer to Question 1")</f>
        <v/>
      </c>
      <c r="H88" s="1091"/>
      <c r="I88" s="1091"/>
      <c r="J88" s="213"/>
    </row>
    <row r="89" spans="1:10" ht="17.399999999999999" customHeight="1" x14ac:dyDescent="0.3">
      <c r="B89" s="211"/>
      <c r="C89" s="212"/>
      <c r="D89" s="1069"/>
      <c r="E89" s="1069"/>
      <c r="F89" s="1069"/>
      <c r="G89" s="1091" t="str">
        <f>IF(G88="Currently the file name is incorrect, please correct before uploading",CONCATENATE("File current name is ",O89),"")</f>
        <v/>
      </c>
      <c r="H89" s="1091"/>
      <c r="I89" s="242"/>
      <c r="J89" s="243"/>
    </row>
    <row r="90" spans="1:10" ht="6.75" customHeight="1" thickBot="1" x14ac:dyDescent="0.35">
      <c r="B90" s="244"/>
      <c r="C90" s="245"/>
      <c r="D90" s="260"/>
      <c r="E90" s="246"/>
      <c r="F90" s="246"/>
      <c r="G90" s="247"/>
      <c r="H90" s="247"/>
      <c r="I90" s="247"/>
      <c r="J90" s="248"/>
    </row>
    <row r="93" spans="1:10" x14ac:dyDescent="0.3">
      <c r="B93" s="194" t="s">
        <v>582</v>
      </c>
      <c r="D93" s="198"/>
      <c r="E93" s="250">
        <v>1.01</v>
      </c>
      <c r="F93" s="251"/>
    </row>
    <row r="94" spans="1:10" x14ac:dyDescent="0.3">
      <c r="A94" s="198"/>
      <c r="B94" s="194" t="s">
        <v>583</v>
      </c>
      <c r="D94" s="198"/>
      <c r="E94" s="252">
        <v>44427</v>
      </c>
      <c r="F94" s="253"/>
    </row>
    <row r="95" spans="1:10" x14ac:dyDescent="0.3">
      <c r="E95" s="251"/>
      <c r="F95" s="251"/>
    </row>
    <row r="96" spans="1:10" x14ac:dyDescent="0.3">
      <c r="E96" s="261">
        <f>SUBTOTAL(109,D41:D85)</f>
        <v>5629</v>
      </c>
    </row>
  </sheetData>
  <sheetProtection algorithmName="SHA-512" hashValue="iz9dNxnNrSYEZdf4tHlm5tCyx56ydu2qzYDpmK4VWUybyQLGqXtwH6snPNQ4eLlMdmvsVWO5uUXU6XYgB/vPSg==" saltValue="PFMUXBsPzfzuox96cBdMGQ==" spinCount="100000" sheet="1" selectLockedCells="1"/>
  <mergeCells count="54">
    <mergeCell ref="E20:F20"/>
    <mergeCell ref="G20:I20"/>
    <mergeCell ref="E12:F12"/>
    <mergeCell ref="E14:F14"/>
    <mergeCell ref="E16:F16"/>
    <mergeCell ref="G16:I16"/>
    <mergeCell ref="E18:F18"/>
    <mergeCell ref="G18:I18"/>
    <mergeCell ref="G32:I32"/>
    <mergeCell ref="E22:F22"/>
    <mergeCell ref="G22:I22"/>
    <mergeCell ref="E24:F24"/>
    <mergeCell ref="G24:I24"/>
    <mergeCell ref="E26:F26"/>
    <mergeCell ref="G26:H26"/>
    <mergeCell ref="E27:H27"/>
    <mergeCell ref="E28:F28"/>
    <mergeCell ref="H28:I28"/>
    <mergeCell ref="E30:F30"/>
    <mergeCell ref="H30:I30"/>
    <mergeCell ref="E32:F32"/>
    <mergeCell ref="B7:J7"/>
    <mergeCell ref="E10:F10"/>
    <mergeCell ref="G10:I10"/>
    <mergeCell ref="B5:J5"/>
    <mergeCell ref="B1:J1"/>
    <mergeCell ref="B2:J2"/>
    <mergeCell ref="B3:J3"/>
    <mergeCell ref="E78:F78"/>
    <mergeCell ref="E55:F55"/>
    <mergeCell ref="G34:I34"/>
    <mergeCell ref="E36:F36"/>
    <mergeCell ref="G36:I36"/>
    <mergeCell ref="E37:H37"/>
    <mergeCell ref="B38:J38"/>
    <mergeCell ref="E41:F41"/>
    <mergeCell ref="E43:F43"/>
    <mergeCell ref="E45:F45"/>
    <mergeCell ref="E47:F47"/>
    <mergeCell ref="E49:F49"/>
    <mergeCell ref="E51:F51"/>
    <mergeCell ref="E53:F53"/>
    <mergeCell ref="E76:F76"/>
    <mergeCell ref="E57:F57"/>
    <mergeCell ref="E60:F60"/>
    <mergeCell ref="E68:F68"/>
    <mergeCell ref="E70:F70"/>
    <mergeCell ref="E72:F72"/>
    <mergeCell ref="E74:F74"/>
    <mergeCell ref="G83:I83"/>
    <mergeCell ref="E87:F87"/>
    <mergeCell ref="G88:I88"/>
    <mergeCell ref="G89:H89"/>
    <mergeCell ref="G81:I81"/>
  </mergeCells>
  <conditionalFormatting sqref="G10 G41 G43 G45 G47 G49 G57 G66 G60 G51 G76">
    <cfRule type="expression" dxfId="96"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95" priority="41">
      <formula>$T26</formula>
    </cfRule>
  </conditionalFormatting>
  <conditionalFormatting sqref="G41 G43 G45 G47 G49 G60 G62 G64 G66 G30 G32 G76 G51:G57">
    <cfRule type="expression" dxfId="94" priority="40">
      <formula>$G$26="Housing Authority"</formula>
    </cfRule>
  </conditionalFormatting>
  <conditionalFormatting sqref="G14">
    <cfRule type="expression" dxfId="93" priority="39">
      <formula>$T14</formula>
    </cfRule>
  </conditionalFormatting>
  <conditionalFormatting sqref="G12">
    <cfRule type="expression" dxfId="92" priority="38">
      <formula>$T12</formula>
    </cfRule>
  </conditionalFormatting>
  <conditionalFormatting sqref="G85">
    <cfRule type="expression" dxfId="91" priority="37">
      <formula>$T85</formula>
    </cfRule>
  </conditionalFormatting>
  <conditionalFormatting sqref="G81">
    <cfRule type="expression" dxfId="90"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89"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88"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87" priority="25">
      <formula>$G$26="Housing Authority"</formula>
    </cfRule>
  </conditionalFormatting>
  <conditionalFormatting sqref="G64">
    <cfRule type="expression" dxfId="86" priority="30">
      <formula>$T64</formula>
    </cfRule>
  </conditionalFormatting>
  <conditionalFormatting sqref="G64">
    <cfRule type="expression" dxfId="85" priority="29">
      <formula>$G$26="Housing Authority"</formula>
    </cfRule>
  </conditionalFormatting>
  <conditionalFormatting sqref="G66">
    <cfRule type="expression" dxfId="84" priority="28">
      <formula>$G$26="Housing Authority"</formula>
    </cfRule>
  </conditionalFormatting>
  <conditionalFormatting sqref="G62">
    <cfRule type="expression" dxfId="83" priority="27">
      <formula>$T62</formula>
    </cfRule>
  </conditionalFormatting>
  <conditionalFormatting sqref="G62">
    <cfRule type="expression" dxfId="82" priority="26">
      <formula>$G$26="Housing Authority"</formula>
    </cfRule>
  </conditionalFormatting>
  <conditionalFormatting sqref="G31">
    <cfRule type="expression" dxfId="81" priority="24">
      <formula>$T31</formula>
    </cfRule>
  </conditionalFormatting>
  <conditionalFormatting sqref="G28">
    <cfRule type="expression" dxfId="80" priority="23">
      <formula>$T28</formula>
    </cfRule>
  </conditionalFormatting>
  <conditionalFormatting sqref="G28">
    <cfRule type="expression" dxfId="79" priority="22">
      <formula>$G$26="Housing Authority"</formula>
    </cfRule>
  </conditionalFormatting>
  <conditionalFormatting sqref="G30">
    <cfRule type="expression" dxfId="78" priority="21">
      <formula>$T30</formula>
    </cfRule>
  </conditionalFormatting>
  <conditionalFormatting sqref="G16">
    <cfRule type="expression" dxfId="77"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76"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75"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74" priority="12">
      <formula>$G$26="Housing Authority"</formula>
    </cfRule>
  </conditionalFormatting>
  <conditionalFormatting sqref="G32">
    <cfRule type="expression" dxfId="73" priority="13">
      <formula>$P$32</formula>
    </cfRule>
    <cfRule type="expression" dxfId="72" priority="20">
      <formula>$T32</formula>
    </cfRule>
  </conditionalFormatting>
  <conditionalFormatting sqref="G36">
    <cfRule type="expression" dxfId="71" priority="9">
      <formula>$G$26="Housing Authority"</formula>
    </cfRule>
  </conditionalFormatting>
  <conditionalFormatting sqref="G36">
    <cfRule type="expression" dxfId="70" priority="10">
      <formula>$P$32</formula>
    </cfRule>
    <cfRule type="expression" dxfId="69" priority="11">
      <formula>$T36</formula>
    </cfRule>
  </conditionalFormatting>
  <conditionalFormatting sqref="G34">
    <cfRule type="expression" dxfId="68" priority="6">
      <formula>$G$26="Housing Authority"</formula>
    </cfRule>
  </conditionalFormatting>
  <conditionalFormatting sqref="G34">
    <cfRule type="expression" dxfId="67" priority="7">
      <formula>$P$32</formula>
    </cfRule>
    <cfRule type="expression" dxfId="66" priority="8">
      <formula>$T34</formula>
    </cfRule>
  </conditionalFormatting>
  <conditionalFormatting sqref="G24">
    <cfRule type="expression" dxfId="65"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64" priority="3">
      <formula>$T53</formula>
    </cfRule>
  </conditionalFormatting>
  <conditionalFormatting sqref="G78">
    <cfRule type="expression" dxfId="63" priority="2">
      <formula>$T78</formula>
    </cfRule>
  </conditionalFormatting>
  <conditionalFormatting sqref="G78">
    <cfRule type="expression" dxfId="62" priority="1">
      <formula>$G$26="Housing Authority"</formula>
    </cfRule>
  </conditionalFormatting>
  <dataValidations xWindow="873" yWindow="799" count="27">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or No from the drop down list" sqref="G57" xr:uid="{740F9C53-B8A7-483C-B384-B0DCDA2D2BCB}">
      <formula1>$Y$3:$Y$5</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G81 H69 H71 H79:I80 I68:I75 H76:I77 H73"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xr:uid="{FA296981-A236-46B7-9FFE-5DC3167CFD46}">
      <formula1>44377</formula1>
    </dataValidation>
    <dataValidation type="date" operator="greaterThan" allowBlank="1" showInputMessage="1" showErrorMessage="1" prompt="MM/DD/YYYY" sqref="G74:G75 G77"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53 G78"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 xr:uid="{654C43BD-453A-4D70-9071-EDED7F145EF7}">
      <formula1>"6/30/2020"</formula1>
    </dataValidation>
    <dataValidation type="list" showInputMessage="1" showErrorMessage="1" sqref="G76" xr:uid="{5FD0CB50-46E9-489F-B6EF-F23C8B0B31FA}">
      <formula1>"Yes,No"</formula1>
    </dataValidation>
    <dataValidation type="date" operator="greaterThan" showInputMessage="1" showErrorMessage="1" sqref="G76" xr:uid="{C0BC3498-332E-4D22-919D-E4BA5713C8CD}">
      <formula1>44377</formula1>
    </dataValidation>
    <dataValidation type="list" allowBlank="1" showInputMessage="1" showErrorMessage="1" sqref="G76" xr:uid="{9FF2FE94-5637-4366-881A-C7F846B9D25C}">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107" activePane="bottomRight" state="frozen"/>
      <selection activeCell="K179" sqref="K179"/>
      <selection pane="topRight" activeCell="K179" sqref="K179"/>
      <selection pane="bottomLeft" activeCell="K179" sqref="K179"/>
      <selection pane="bottomRight" activeCell="E111" sqref="E111"/>
    </sheetView>
  </sheetViews>
  <sheetFormatPr defaultColWidth="9.109375" defaultRowHeight="14.4" x14ac:dyDescent="0.3"/>
  <cols>
    <col min="1" max="1" width="8.88671875" style="3" customWidth="1"/>
    <col min="2" max="2" width="17.5546875" style="52" bestFit="1" customWidth="1"/>
    <col min="3" max="3" width="36.6640625" style="521" customWidth="1"/>
    <col min="4" max="4" width="20.88671875" style="3" bestFit="1" customWidth="1"/>
    <col min="5" max="5" width="17.5546875" style="3" customWidth="1"/>
    <col min="6" max="6" width="22.6640625" style="3" customWidth="1"/>
    <col min="7" max="7" width="17.44140625" style="418" bestFit="1" customWidth="1"/>
    <col min="8" max="8" width="9.6640625" style="3" bestFit="1" customWidth="1"/>
    <col min="9" max="9" width="1" style="452" customWidth="1"/>
    <col min="10" max="10" width="18.109375" style="5" customWidth="1"/>
    <col min="11" max="11" width="36.88671875" style="9" customWidth="1"/>
    <col min="12" max="12" width="15.44140625" style="529" bestFit="1" customWidth="1"/>
    <col min="13" max="13" width="1.44140625" style="3" customWidth="1"/>
    <col min="14" max="14" width="18.109375" style="3" customWidth="1"/>
    <col min="15" max="15" width="17.88671875" style="3" customWidth="1"/>
    <col min="16" max="16" width="8.6640625" style="284"/>
    <col min="17" max="17" width="10.33203125" style="421"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495</v>
      </c>
      <c r="D1" s="13">
        <f>L65-(L52+L53-L57-L58-L233)-L61</f>
        <v>0</v>
      </c>
      <c r="I1" s="419"/>
      <c r="J1" s="48"/>
      <c r="K1" s="14" t="s">
        <v>47</v>
      </c>
      <c r="L1" s="63"/>
      <c r="M1" s="420"/>
      <c r="S1" s="3">
        <v>100</v>
      </c>
      <c r="T1" s="3">
        <v>1</v>
      </c>
    </row>
    <row r="2" spans="1:25" ht="36" x14ac:dyDescent="0.4">
      <c r="C2" s="74" t="str">
        <f>'Unit Data from Audit Worksheet'!D2</f>
        <v>Select Unit Name from Drop Down List</v>
      </c>
      <c r="D2" s="145">
        <v>2021</v>
      </c>
      <c r="E2" s="12">
        <v>2021</v>
      </c>
      <c r="F2" s="12"/>
      <c r="G2" s="70"/>
      <c r="H2" s="12"/>
      <c r="I2" s="419"/>
      <c r="J2" s="43" t="s">
        <v>43</v>
      </c>
      <c r="K2" s="8" t="s">
        <v>42</v>
      </c>
      <c r="L2" s="68" t="s">
        <v>30</v>
      </c>
      <c r="S2" s="3">
        <v>200</v>
      </c>
      <c r="T2" s="3">
        <v>2</v>
      </c>
    </row>
    <row r="3" spans="1:25" ht="31.2" x14ac:dyDescent="0.3">
      <c r="A3" s="422" t="s">
        <v>43</v>
      </c>
      <c r="B3" s="423"/>
      <c r="C3" s="46" t="s">
        <v>1</v>
      </c>
      <c r="D3" s="15" t="s">
        <v>44</v>
      </c>
      <c r="E3" s="15" t="s">
        <v>45</v>
      </c>
      <c r="F3" s="16" t="s">
        <v>49</v>
      </c>
      <c r="G3" s="75" t="s">
        <v>343</v>
      </c>
      <c r="H3" s="16" t="s">
        <v>420</v>
      </c>
      <c r="I3" s="419"/>
      <c r="J3" s="424"/>
      <c r="K3" s="146"/>
      <c r="L3" s="425"/>
      <c r="O3" s="3" t="s">
        <v>291</v>
      </c>
      <c r="Q3" s="86" t="s">
        <v>344</v>
      </c>
      <c r="S3" s="3">
        <v>300</v>
      </c>
      <c r="T3" s="3">
        <v>3</v>
      </c>
    </row>
    <row r="4" spans="1:25" ht="18" x14ac:dyDescent="0.35">
      <c r="A4" s="426"/>
      <c r="B4" s="427"/>
      <c r="C4" s="50"/>
      <c r="D4" s="7"/>
      <c r="E4" s="7"/>
      <c r="F4" s="7"/>
      <c r="G4" s="71"/>
      <c r="H4" s="7"/>
      <c r="I4" s="419"/>
      <c r="J4" s="45">
        <v>999</v>
      </c>
      <c r="K4" s="11" t="s">
        <v>288</v>
      </c>
      <c r="L4" s="134" t="e">
        <f>'Unit Data from Audit Worksheet'!D3</f>
        <v>#N/A</v>
      </c>
      <c r="S4" s="3">
        <v>400</v>
      </c>
      <c r="T4" s="3">
        <v>4</v>
      </c>
      <c r="W4" s="3" t="b">
        <f t="shared" ref="W4:W35" si="0">EXACT(A4,J4)</f>
        <v>0</v>
      </c>
      <c r="X4" s="428" t="e">
        <f>E4-L4</f>
        <v>#N/A</v>
      </c>
      <c r="Y4" s="428" t="e">
        <f>D4-L4</f>
        <v>#N/A</v>
      </c>
    </row>
    <row r="5" spans="1:25" ht="57" customHeight="1" x14ac:dyDescent="0.3">
      <c r="A5" s="429">
        <f>'Unit Data from Audit Worksheet'!A7</f>
        <v>333</v>
      </c>
      <c r="B5" s="54" t="str">
        <f>'Unit Data from Audit Worksheet'!C7</f>
        <v>Net Position-Governmental Activities</v>
      </c>
      <c r="C5" s="430" t="str">
        <f>'Unit Data from Audit Worksheet'!D7</f>
        <v xml:space="preserve"> All unrestricted Cash and investments.  
Exclude: restricted cash 
                   cash held by a third party. </v>
      </c>
      <c r="D5" s="144"/>
      <c r="E5" s="152">
        <f>'Unit Data from Audit Worksheet'!F7</f>
        <v>0</v>
      </c>
      <c r="F5" s="331">
        <f>IF(L5&lt;0,"Error: Number is normally positive.",)</f>
        <v>0</v>
      </c>
      <c r="G5" s="72"/>
      <c r="H5" s="330">
        <f>'Unit Data from Audit Worksheet'!I7</f>
        <v>0</v>
      </c>
      <c r="I5" s="38"/>
      <c r="J5" s="42">
        <v>333</v>
      </c>
      <c r="K5" s="51" t="s">
        <v>184</v>
      </c>
      <c r="L5" s="431">
        <f>IF(D5="",E5,D5)</f>
        <v>0</v>
      </c>
      <c r="P5" s="299"/>
      <c r="S5" s="3">
        <v>500</v>
      </c>
      <c r="T5" s="3">
        <v>5</v>
      </c>
      <c r="W5" s="3" t="b">
        <f t="shared" si="0"/>
        <v>1</v>
      </c>
      <c r="X5" s="428">
        <f t="shared" ref="X5:X116" si="1">E5-L5</f>
        <v>0</v>
      </c>
      <c r="Y5" s="428">
        <f t="shared" ref="Y5:Y116" si="2">D5-L5</f>
        <v>0</v>
      </c>
    </row>
    <row r="6" spans="1:25" ht="39.75" customHeight="1" x14ac:dyDescent="0.3">
      <c r="A6" s="318">
        <f>'Unit Data from Audit Worksheet'!A8</f>
        <v>500</v>
      </c>
      <c r="B6" s="332" t="str">
        <f>'Unit Data from Audit Worksheet'!C8</f>
        <v>Net Position-Governmental Activities</v>
      </c>
      <c r="C6" s="317" t="str">
        <f>'Unit Data from Audit Worksheet'!D8</f>
        <v xml:space="preserve"> All restricted Cash and investments</v>
      </c>
      <c r="D6" s="144"/>
      <c r="E6" s="338">
        <f>'Unit Data from Audit Worksheet'!F8</f>
        <v>0</v>
      </c>
      <c r="F6" s="331">
        <f>IF(L6&lt;0,"Error: Number is normally positive.",)</f>
        <v>0</v>
      </c>
      <c r="G6" s="333"/>
      <c r="H6" s="330">
        <f>'Unit Data from Audit Worksheet'!I8</f>
        <v>0</v>
      </c>
      <c r="I6" s="38"/>
      <c r="J6" s="329">
        <v>500</v>
      </c>
      <c r="K6" s="328" t="s">
        <v>183</v>
      </c>
      <c r="L6" s="431">
        <f>IF(D6="",E6,D6)</f>
        <v>0</v>
      </c>
      <c r="P6" s="300"/>
      <c r="T6" s="3">
        <v>6</v>
      </c>
      <c r="W6" s="3" t="b">
        <f t="shared" si="0"/>
        <v>1</v>
      </c>
      <c r="X6" s="428">
        <f t="shared" si="1"/>
        <v>0</v>
      </c>
      <c r="Y6" s="428">
        <f t="shared" si="2"/>
        <v>0</v>
      </c>
    </row>
    <row r="7" spans="1:25" ht="43.5" customHeight="1" x14ac:dyDescent="0.3">
      <c r="A7" s="318">
        <f>'Unit Data from Audit Worksheet'!A9</f>
        <v>385</v>
      </c>
      <c r="B7" s="332" t="str">
        <f>'Unit Data from Audit Worksheet'!C9</f>
        <v>Net Position-Governmental Activities</v>
      </c>
      <c r="C7" s="317" t="str">
        <f>'Unit Data from Audit Worksheet'!D9</f>
        <v>Total Assets and deferred outflows</v>
      </c>
      <c r="D7" s="144"/>
      <c r="E7" s="338">
        <f>'Unit Data from Audit Worksheet'!F9</f>
        <v>0</v>
      </c>
      <c r="F7" s="135">
        <f>IF((L5+L6)&gt;L7,"Error: Please review accts (333 + 500) &gt; 385",)</f>
        <v>0</v>
      </c>
      <c r="G7" s="333" t="str">
        <f>IF(Q7=1," Included in error count"," ")</f>
        <v xml:space="preserve"> </v>
      </c>
      <c r="H7" s="330">
        <f>'Unit Data from Audit Worksheet'!I9</f>
        <v>0</v>
      </c>
      <c r="I7" s="38"/>
      <c r="J7" s="76">
        <v>385</v>
      </c>
      <c r="K7" s="77" t="s">
        <v>115</v>
      </c>
      <c r="L7" s="432">
        <f>IF(D7="",E7,D7)+IF(D9="",E9,D9)</f>
        <v>0</v>
      </c>
      <c r="N7" s="78" t="s">
        <v>330</v>
      </c>
      <c r="P7" s="300"/>
      <c r="T7" s="3">
        <v>7</v>
      </c>
      <c r="W7" s="3" t="b">
        <f t="shared" si="0"/>
        <v>1</v>
      </c>
      <c r="X7" s="428">
        <f t="shared" si="1"/>
        <v>0</v>
      </c>
      <c r="Y7" s="428">
        <f t="shared" si="2"/>
        <v>0</v>
      </c>
    </row>
    <row r="8" spans="1:25" ht="90.75" customHeight="1" x14ac:dyDescent="0.3">
      <c r="A8" s="318">
        <f>'Unit Data from Audit Worksheet'!A10</f>
        <v>575</v>
      </c>
      <c r="B8" s="332" t="str">
        <f>'Unit Data from Audit Worksheet'!C10</f>
        <v>Net Position-Governmental Activities</v>
      </c>
      <c r="C8" s="317" t="str">
        <f>'Unit Data from Audit Worksheet'!D10</f>
        <v>Record any positive Internal balances on the net position statements that appear in the Asset Section of the Net Position Statement</v>
      </c>
      <c r="D8" s="144"/>
      <c r="E8" s="338">
        <f>'Unit Data from Audit Worksheet'!F10</f>
        <v>0</v>
      </c>
      <c r="F8" s="331">
        <f>IF(L8&lt;0,"Error: Number is normally positive.",)</f>
        <v>0</v>
      </c>
      <c r="G8" s="333"/>
      <c r="H8" s="330">
        <f>'Unit Data from Audit Worksheet'!I10</f>
        <v>0</v>
      </c>
      <c r="I8" s="38"/>
      <c r="J8" s="329">
        <v>575</v>
      </c>
      <c r="K8" s="335" t="s">
        <v>333</v>
      </c>
      <c r="L8" s="431">
        <f>IF(D8="",E8,D8)</f>
        <v>0</v>
      </c>
      <c r="N8" s="64"/>
      <c r="P8" s="300"/>
      <c r="W8" s="3" t="b">
        <f t="shared" si="0"/>
        <v>1</v>
      </c>
      <c r="X8" s="428">
        <f t="shared" si="1"/>
        <v>0</v>
      </c>
      <c r="Y8" s="428">
        <f t="shared" si="2"/>
        <v>0</v>
      </c>
    </row>
    <row r="9" spans="1:25" ht="103.5" customHeight="1" x14ac:dyDescent="0.3">
      <c r="A9" s="318">
        <f>'Unit Data from Audit Worksheet'!A11</f>
        <v>576</v>
      </c>
      <c r="B9" s="332" t="str">
        <f>'Unit Data from Audit Worksheet'!C11</f>
        <v>Net Position-Governmental Activities</v>
      </c>
      <c r="C9" s="433" t="str">
        <f>'Unit Data from Audit Worksheet'!D11</f>
        <v>Record any negative Internal balances on the net position statements that appear in the Asset Section of the Net Position Statement.
Enter as a positive</v>
      </c>
      <c r="D9" s="110"/>
      <c r="E9" s="155">
        <f>'Unit Data from Audit Worksheet'!F11</f>
        <v>0</v>
      </c>
      <c r="F9" s="327">
        <f>IF(E9&lt;0,"Error: Enter as positive.",)</f>
        <v>0</v>
      </c>
      <c r="G9" s="112"/>
      <c r="H9" s="113">
        <f>'Unit Data from Audit Worksheet'!I11</f>
        <v>0</v>
      </c>
      <c r="I9" s="38"/>
      <c r="J9" s="105">
        <v>576</v>
      </c>
      <c r="K9" s="335" t="s">
        <v>334</v>
      </c>
      <c r="L9" s="431">
        <f>IF(D9="",E9,D9)</f>
        <v>0</v>
      </c>
      <c r="N9" s="64"/>
      <c r="P9" s="301"/>
      <c r="W9" s="3" t="b">
        <f t="shared" si="0"/>
        <v>1</v>
      </c>
      <c r="X9" s="428">
        <f t="shared" si="1"/>
        <v>0</v>
      </c>
      <c r="Y9" s="428">
        <f t="shared" si="2"/>
        <v>0</v>
      </c>
    </row>
    <row r="10" spans="1:25" s="18" customFormat="1" ht="100.5" customHeight="1" x14ac:dyDescent="0.3">
      <c r="A10" s="318">
        <f>'Unit Data from Audit Worksheet'!A12</f>
        <v>626</v>
      </c>
      <c r="B10" s="323" t="str">
        <f>'Unit Data from Audit Worksheet'!C12</f>
        <v>Net Position-Governmental Activities</v>
      </c>
      <c r="C10" s="322"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44">
        <f>'Unit Data from Audit Worksheet'!F12</f>
        <v>0</v>
      </c>
      <c r="F10" s="326">
        <f>IF(L10&lt;0,"Error: Enter as a positive.",)</f>
        <v>0</v>
      </c>
      <c r="G10" s="311"/>
      <c r="H10" s="326">
        <f>'Unit Data from Audit Worksheet'!I12</f>
        <v>0</v>
      </c>
      <c r="I10" s="38"/>
      <c r="J10" s="325">
        <v>626</v>
      </c>
      <c r="K10" s="293" t="s">
        <v>453</v>
      </c>
      <c r="L10" s="434">
        <f>IF(D10="",E10,D10)+IF(D9="",E9,D9)</f>
        <v>0</v>
      </c>
      <c r="M10" s="435"/>
      <c r="N10" s="182" t="s">
        <v>330</v>
      </c>
      <c r="O10" s="435"/>
      <c r="P10" s="302"/>
      <c r="Q10" s="436"/>
      <c r="R10" s="3"/>
      <c r="W10" s="18" t="b">
        <f t="shared" si="0"/>
        <v>1</v>
      </c>
      <c r="X10" s="437">
        <f t="shared" si="1"/>
        <v>0</v>
      </c>
      <c r="Y10" s="437">
        <f t="shared" si="2"/>
        <v>0</v>
      </c>
    </row>
    <row r="11" spans="1:25" s="18" customFormat="1" ht="86.25" customHeight="1" x14ac:dyDescent="0.3">
      <c r="A11" s="318">
        <f>'Unit Data from Audit Worksheet'!A13</f>
        <v>627</v>
      </c>
      <c r="B11" s="323" t="str">
        <f>'Unit Data from Audit Worksheet'!C13</f>
        <v>Net Position-Governmental Activities</v>
      </c>
      <c r="C11" s="322"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44">
        <f>'Unit Data from Audit Worksheet'!F13</f>
        <v>0</v>
      </c>
      <c r="F11" s="326"/>
      <c r="G11" s="311"/>
      <c r="H11" s="326"/>
      <c r="I11" s="38"/>
      <c r="J11" s="325">
        <v>627</v>
      </c>
      <c r="K11" s="293" t="s">
        <v>445</v>
      </c>
      <c r="L11" s="438">
        <f t="shared" ref="L11:L16" si="3">IF(D11="",E11,D11)</f>
        <v>0</v>
      </c>
      <c r="M11" s="435"/>
      <c r="N11" s="181"/>
      <c r="O11" s="435"/>
      <c r="P11" s="302"/>
      <c r="Q11" s="436"/>
      <c r="R11" s="3"/>
      <c r="W11" s="18" t="b">
        <f t="shared" si="0"/>
        <v>1</v>
      </c>
      <c r="X11" s="437">
        <f t="shared" si="1"/>
        <v>0</v>
      </c>
      <c r="Y11" s="437">
        <f t="shared" si="2"/>
        <v>0</v>
      </c>
    </row>
    <row r="12" spans="1:25" s="18" customFormat="1" ht="86.25" customHeight="1" x14ac:dyDescent="0.3">
      <c r="A12" s="318">
        <f>'Unit Data from Audit Worksheet'!A14</f>
        <v>628</v>
      </c>
      <c r="B12" s="323" t="str">
        <f>'Unit Data from Audit Worksheet'!C14</f>
        <v>Net Position-Governmental Activities</v>
      </c>
      <c r="C12" s="322" t="str">
        <f>'Unit Data from Audit Worksheet'!D14</f>
        <v>Please enter any compensated absences that are classified as current liabilities and included in account 626 above (amounts entered should agree to the current amount included in the changes to long-term debt note)</v>
      </c>
      <c r="D12" s="110"/>
      <c r="E12" s="344">
        <f>'Unit Data from Audit Worksheet'!F14</f>
        <v>0</v>
      </c>
      <c r="F12" s="326"/>
      <c r="G12" s="311"/>
      <c r="H12" s="326"/>
      <c r="I12" s="38"/>
      <c r="J12" s="325">
        <v>628</v>
      </c>
      <c r="K12" s="293" t="s">
        <v>450</v>
      </c>
      <c r="L12" s="438">
        <f t="shared" si="3"/>
        <v>0</v>
      </c>
      <c r="M12" s="435"/>
      <c r="N12" s="181"/>
      <c r="O12" s="435"/>
      <c r="P12" s="302"/>
      <c r="Q12" s="436"/>
      <c r="R12" s="3"/>
      <c r="W12" s="18" t="b">
        <f t="shared" si="0"/>
        <v>1</v>
      </c>
      <c r="X12" s="437">
        <f t="shared" si="1"/>
        <v>0</v>
      </c>
      <c r="Y12" s="437">
        <f t="shared" si="2"/>
        <v>0</v>
      </c>
    </row>
    <row r="13" spans="1:25" s="18" customFormat="1" ht="93" customHeight="1" x14ac:dyDescent="0.3">
      <c r="A13" s="318">
        <f>'Unit Data from Audit Worksheet'!A15</f>
        <v>629</v>
      </c>
      <c r="B13" s="323" t="str">
        <f>'Unit Data from Audit Worksheet'!C15</f>
        <v>Net Position-Governmental Activities</v>
      </c>
      <c r="C13" s="322" t="str">
        <f>'Unit Data from Audit Worksheet'!D15</f>
        <v>Please enter any pension liabilities that are classified as current liabilities and included in account 626 above (amounts entered should agree to the current amount included in the changes to long-term debt note)</v>
      </c>
      <c r="D13" s="110"/>
      <c r="E13" s="344">
        <f>'Unit Data from Audit Worksheet'!F15</f>
        <v>0</v>
      </c>
      <c r="F13" s="326"/>
      <c r="G13" s="311"/>
      <c r="H13" s="326"/>
      <c r="I13" s="38"/>
      <c r="J13" s="325">
        <v>629</v>
      </c>
      <c r="K13" s="293" t="s">
        <v>449</v>
      </c>
      <c r="L13" s="438">
        <f t="shared" si="3"/>
        <v>0</v>
      </c>
      <c r="M13" s="435"/>
      <c r="N13" s="181"/>
      <c r="O13" s="435"/>
      <c r="P13" s="302"/>
      <c r="Q13" s="436"/>
      <c r="R13" s="3"/>
      <c r="W13" s="18" t="b">
        <f t="shared" si="0"/>
        <v>1</v>
      </c>
      <c r="X13" s="437">
        <f t="shared" si="1"/>
        <v>0</v>
      </c>
      <c r="Y13" s="437">
        <f t="shared" si="2"/>
        <v>0</v>
      </c>
    </row>
    <row r="14" spans="1:25" s="18" customFormat="1" ht="67.5" customHeight="1" x14ac:dyDescent="0.3">
      <c r="A14" s="318">
        <f>'Unit Data from Audit Worksheet'!A16</f>
        <v>630</v>
      </c>
      <c r="B14" s="323" t="str">
        <f>'Unit Data from Audit Worksheet'!C16</f>
        <v>Net Position-Governmental Activities</v>
      </c>
      <c r="C14" s="322" t="str">
        <f>'Unit Data from Audit Worksheet'!D16</f>
        <v>Please enter any current liabilities that are payable from restricted assets and included in account 626 above</v>
      </c>
      <c r="D14" s="110"/>
      <c r="E14" s="344">
        <f>'Unit Data from Audit Worksheet'!F16</f>
        <v>0</v>
      </c>
      <c r="F14" s="326"/>
      <c r="G14" s="311"/>
      <c r="H14" s="326"/>
      <c r="I14" s="38"/>
      <c r="J14" s="325">
        <v>630</v>
      </c>
      <c r="K14" s="293" t="s">
        <v>448</v>
      </c>
      <c r="L14" s="438">
        <f t="shared" si="3"/>
        <v>0</v>
      </c>
      <c r="M14" s="435"/>
      <c r="N14" s="181"/>
      <c r="O14" s="435"/>
      <c r="P14" s="302"/>
      <c r="Q14" s="436"/>
      <c r="R14" s="3"/>
      <c r="W14" s="18" t="b">
        <f t="shared" si="0"/>
        <v>1</v>
      </c>
      <c r="X14" s="437">
        <f t="shared" si="1"/>
        <v>0</v>
      </c>
      <c r="Y14" s="437">
        <f t="shared" si="2"/>
        <v>0</v>
      </c>
    </row>
    <row r="15" spans="1:25" s="18" customFormat="1" ht="102.75" customHeight="1" x14ac:dyDescent="0.3">
      <c r="A15" s="318">
        <f>'Unit Data from Audit Worksheet'!A17</f>
        <v>631</v>
      </c>
      <c r="B15" s="332" t="str">
        <f>'Unit Data from Audit Worksheet'!C17</f>
        <v>Net Position-Governmental Activities</v>
      </c>
      <c r="C15" s="312" t="str">
        <f>'Unit Data from Audit Worksheet'!D17</f>
        <v>Please enter any OPEB liabilities that are classified as current liabilities and included in account 626 above (amounts entered should agree to the current amount included in the changes to long-term debt note)</v>
      </c>
      <c r="D15" s="110"/>
      <c r="E15" s="344">
        <f>'Unit Data from Audit Worksheet'!F17</f>
        <v>0</v>
      </c>
      <c r="F15" s="326"/>
      <c r="G15" s="311"/>
      <c r="H15" s="326"/>
      <c r="I15" s="38"/>
      <c r="J15" s="325">
        <v>631</v>
      </c>
      <c r="K15" s="293" t="s">
        <v>447</v>
      </c>
      <c r="L15" s="438">
        <f t="shared" si="3"/>
        <v>0</v>
      </c>
      <c r="M15" s="435"/>
      <c r="N15" s="181"/>
      <c r="O15" s="435"/>
      <c r="P15" s="302"/>
      <c r="Q15" s="436"/>
      <c r="R15" s="3"/>
      <c r="W15" s="18" t="b">
        <f t="shared" si="0"/>
        <v>1</v>
      </c>
      <c r="X15" s="437">
        <f t="shared" si="1"/>
        <v>0</v>
      </c>
      <c r="Y15" s="437">
        <f t="shared" si="2"/>
        <v>0</v>
      </c>
    </row>
    <row r="16" spans="1:25" s="18" customFormat="1" ht="119.25" customHeight="1" x14ac:dyDescent="0.3">
      <c r="A16" s="318">
        <f>'Unit Data from Audit Worksheet'!A18</f>
        <v>632</v>
      </c>
      <c r="B16" s="332" t="str">
        <f>'Unit Data from Audit Worksheet'!C18</f>
        <v>Net Position-Governmental Activities</v>
      </c>
      <c r="C16" s="31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44">
        <f>'Unit Data from Audit Worksheet'!F18</f>
        <v>0</v>
      </c>
      <c r="F16" s="326"/>
      <c r="G16" s="311"/>
      <c r="H16" s="326"/>
      <c r="I16" s="38"/>
      <c r="J16" s="325">
        <v>632</v>
      </c>
      <c r="K16" s="293" t="s">
        <v>446</v>
      </c>
      <c r="L16" s="438">
        <f t="shared" si="3"/>
        <v>0</v>
      </c>
      <c r="M16" s="435"/>
      <c r="N16" s="181"/>
      <c r="O16" s="435"/>
      <c r="P16" s="302"/>
      <c r="Q16" s="436"/>
      <c r="R16" s="3"/>
      <c r="W16" s="18" t="b">
        <f t="shared" si="0"/>
        <v>1</v>
      </c>
      <c r="X16" s="437">
        <f t="shared" si="1"/>
        <v>0</v>
      </c>
      <c r="Y16" s="437">
        <f t="shared" si="2"/>
        <v>0</v>
      </c>
    </row>
    <row r="17" spans="1:25" ht="30.6" x14ac:dyDescent="0.3">
      <c r="A17" s="318">
        <f>'Unit Data from Audit Worksheet'!A19</f>
        <v>338</v>
      </c>
      <c r="B17" s="332" t="str">
        <f>'Unit Data from Audit Worksheet'!C19</f>
        <v>Net Position-Governmental Activities</v>
      </c>
      <c r="C17" s="317" t="str">
        <f>'Unit Data from Audit Worksheet'!D19</f>
        <v>Total Liabilities and total deferred inflows</v>
      </c>
      <c r="D17" s="110"/>
      <c r="E17" s="152">
        <f>'Unit Data from Audit Worksheet'!F19</f>
        <v>0</v>
      </c>
      <c r="F17" s="135" t="str">
        <f>IF(L10&gt;L17,"Please review accounts 626 greater than 338","")</f>
        <v/>
      </c>
      <c r="G17" s="72"/>
      <c r="H17" s="330">
        <f>'Unit Data from Audit Worksheet'!I19</f>
        <v>0</v>
      </c>
      <c r="I17" s="38"/>
      <c r="J17" s="114">
        <v>338</v>
      </c>
      <c r="K17" s="115" t="s">
        <v>116</v>
      </c>
      <c r="L17" s="432">
        <f>IF(D17="",E17,D17)+IF(D9="",E9,D9)</f>
        <v>0</v>
      </c>
      <c r="N17" s="78" t="s">
        <v>330</v>
      </c>
      <c r="P17" s="299"/>
      <c r="W17" s="3" t="b">
        <f t="shared" si="0"/>
        <v>1</v>
      </c>
      <c r="X17" s="428">
        <f t="shared" si="1"/>
        <v>0</v>
      </c>
      <c r="Y17" s="428">
        <f t="shared" si="2"/>
        <v>0</v>
      </c>
    </row>
    <row r="18" spans="1:25" ht="100.5" customHeight="1" x14ac:dyDescent="0.3">
      <c r="A18" s="318">
        <f>'Unit Data from Audit Worksheet'!A20</f>
        <v>335</v>
      </c>
      <c r="B18" s="332" t="str">
        <f>'Unit Data from Audit Worksheet'!C20</f>
        <v>Net Position-Governmental Activities</v>
      </c>
      <c r="C18" s="317" t="str">
        <f>'Unit Data from Audit Worksheet'!D20</f>
        <v>Unearned revenues that were included in current liabilities in your audit report or entered in acct # 626 above. 
Exclude - unearned revenues that are listed in deferred inflows.</v>
      </c>
      <c r="D18" s="110"/>
      <c r="E18" s="338">
        <f>'Unit Data from Audit Worksheet'!F20</f>
        <v>0</v>
      </c>
      <c r="F18" s="331">
        <f>IF(L18&lt;0,"Error: Enter as a positive.",)</f>
        <v>0</v>
      </c>
      <c r="G18" s="333"/>
      <c r="H18" s="330">
        <f>'Unit Data from Audit Worksheet'!I20</f>
        <v>0</v>
      </c>
      <c r="I18" s="38"/>
      <c r="J18" s="329">
        <v>335</v>
      </c>
      <c r="K18" s="328" t="s">
        <v>117</v>
      </c>
      <c r="L18" s="431">
        <f>IF(D18="",E18,D18)</f>
        <v>0</v>
      </c>
      <c r="P18" s="300"/>
      <c r="W18" s="3" t="b">
        <f t="shared" si="0"/>
        <v>1</v>
      </c>
      <c r="X18" s="428">
        <f t="shared" si="1"/>
        <v>0</v>
      </c>
      <c r="Y18" s="428">
        <f t="shared" si="2"/>
        <v>0</v>
      </c>
    </row>
    <row r="19" spans="1:25" ht="20.399999999999999" x14ac:dyDescent="0.3">
      <c r="A19" s="318">
        <f>'Unit Data from Audit Worksheet'!A21</f>
        <v>252</v>
      </c>
      <c r="B19" s="332" t="str">
        <f>'Unit Data from Audit Worksheet'!C21</f>
        <v>Net Position-Governmental Activities</v>
      </c>
      <c r="C19" s="317" t="str">
        <f>'Unit Data from Audit Worksheet'!D21</f>
        <v xml:space="preserve"> Total Net investment in capital assets</v>
      </c>
      <c r="D19" s="110"/>
      <c r="E19" s="338">
        <f>'Unit Data from Audit Worksheet'!F21</f>
        <v>0</v>
      </c>
      <c r="F19" s="331"/>
      <c r="G19" s="333"/>
      <c r="H19" s="330">
        <f>'Unit Data from Audit Worksheet'!I21</f>
        <v>0</v>
      </c>
      <c r="I19" s="38"/>
      <c r="J19" s="329">
        <v>252</v>
      </c>
      <c r="K19" s="328" t="s">
        <v>103</v>
      </c>
      <c r="L19" s="431">
        <f t="shared" ref="L19:L51" si="4">IF(D19="",E19,D19)</f>
        <v>0</v>
      </c>
      <c r="O19" s="439" t="e">
        <f>'Unit Data from Audit Worksheet'!E21</f>
        <v>#N/A</v>
      </c>
      <c r="P19" s="300"/>
      <c r="W19" s="3" t="b">
        <f t="shared" si="0"/>
        <v>1</v>
      </c>
      <c r="X19" s="428">
        <f t="shared" si="1"/>
        <v>0</v>
      </c>
      <c r="Y19" s="428">
        <f t="shared" si="2"/>
        <v>0</v>
      </c>
    </row>
    <row r="20" spans="1:25" ht="20.399999999999999" x14ac:dyDescent="0.3">
      <c r="A20" s="318">
        <f>'Unit Data from Audit Worksheet'!A22</f>
        <v>253</v>
      </c>
      <c r="B20" s="332" t="str">
        <f>'Unit Data from Audit Worksheet'!C22</f>
        <v>Net Position-Governmental Activities</v>
      </c>
      <c r="C20" s="317" t="str">
        <f>'Unit Data from Audit Worksheet'!D22</f>
        <v xml:space="preserve"> Total Net Position, Restricted</v>
      </c>
      <c r="D20" s="110"/>
      <c r="E20" s="338">
        <f>'Unit Data from Audit Worksheet'!F22</f>
        <v>0</v>
      </c>
      <c r="F20" s="331"/>
      <c r="G20" s="333"/>
      <c r="H20" s="330">
        <f>'Unit Data from Audit Worksheet'!I22</f>
        <v>0</v>
      </c>
      <c r="I20" s="38"/>
      <c r="J20" s="329">
        <v>253</v>
      </c>
      <c r="K20" s="328" t="s">
        <v>104</v>
      </c>
      <c r="L20" s="431">
        <f t="shared" si="4"/>
        <v>0</v>
      </c>
      <c r="O20" s="439" t="e">
        <f>'Unit Data from Audit Worksheet'!E22</f>
        <v>#N/A</v>
      </c>
      <c r="P20" s="300"/>
      <c r="W20" s="3" t="b">
        <f t="shared" si="0"/>
        <v>1</v>
      </c>
      <c r="X20" s="428">
        <f t="shared" si="1"/>
        <v>0</v>
      </c>
      <c r="Y20" s="428">
        <f t="shared" si="2"/>
        <v>0</v>
      </c>
    </row>
    <row r="21" spans="1:25" ht="73.5" customHeight="1" x14ac:dyDescent="0.3">
      <c r="A21" s="318">
        <f>'Unit Data from Audit Worksheet'!A23</f>
        <v>254</v>
      </c>
      <c r="B21" s="332" t="str">
        <f>'Unit Data from Audit Worksheet'!C23</f>
        <v>Net Position-Governmental Activities</v>
      </c>
      <c r="C21" s="317" t="str">
        <f>'Unit Data from Audit Worksheet'!D23</f>
        <v>Total Net Position, Unrestricted - enter negative unrestricted net position as a negative)</v>
      </c>
      <c r="D21" s="110"/>
      <c r="E21" s="338">
        <f>'Unit Data from Audit Worksheet'!F23</f>
        <v>0</v>
      </c>
      <c r="F21" s="331">
        <f>IF((L7-L17-L19-L20-L21)=0,,"Error: Total assets and deferred outflows less total liabilities and deferred inflows do not equal total net position accts 385-338-252-253-254")</f>
        <v>0</v>
      </c>
      <c r="G21" s="90">
        <f>+L7-L17-L19-L20-L21</f>
        <v>0</v>
      </c>
      <c r="H21" s="330">
        <f>'Unit Data from Audit Worksheet'!I23</f>
        <v>0</v>
      </c>
      <c r="I21" s="38"/>
      <c r="J21" s="329">
        <v>254</v>
      </c>
      <c r="K21" s="328" t="s">
        <v>105</v>
      </c>
      <c r="L21" s="431">
        <f t="shared" si="4"/>
        <v>0</v>
      </c>
      <c r="O21" s="439" t="e">
        <f>'Unit Data from Audit Worksheet'!E23</f>
        <v>#N/A</v>
      </c>
      <c r="P21" s="300"/>
      <c r="Q21" s="421">
        <f>IF(G21&lt;&gt;0,1,0)</f>
        <v>0</v>
      </c>
      <c r="W21" s="3" t="b">
        <f t="shared" si="0"/>
        <v>1</v>
      </c>
      <c r="X21" s="428">
        <f t="shared" si="1"/>
        <v>0</v>
      </c>
      <c r="Y21" s="428">
        <f t="shared" si="2"/>
        <v>0</v>
      </c>
    </row>
    <row r="22" spans="1:25" ht="51.75" customHeight="1" x14ac:dyDescent="0.3">
      <c r="A22" s="318">
        <f>'Unit Data from Audit Worksheet'!A25</f>
        <v>502</v>
      </c>
      <c r="B22" s="332" t="str">
        <f>'Unit Data from Audit Worksheet'!C25</f>
        <v>Net Position-Business Activities</v>
      </c>
      <c r="C22" s="317" t="str">
        <f>'Unit Data from Audit Worksheet'!D25</f>
        <v xml:space="preserve">All unrestricted Cash and investments. 
Exclude restricted cash and cash held by a third party. </v>
      </c>
      <c r="D22" s="110"/>
      <c r="E22" s="338">
        <f>'Unit Data from Audit Worksheet'!F25</f>
        <v>0</v>
      </c>
      <c r="F22" s="331">
        <f>IF(L22&lt;0,"Error: Number is normally positive.",)</f>
        <v>0</v>
      </c>
      <c r="G22" s="333"/>
      <c r="H22" s="330">
        <f>'Unit Data from Audit Worksheet'!I25</f>
        <v>0</v>
      </c>
      <c r="I22" s="38"/>
      <c r="J22" s="329">
        <v>502</v>
      </c>
      <c r="K22" s="328" t="s">
        <v>185</v>
      </c>
      <c r="L22" s="431">
        <f t="shared" si="4"/>
        <v>0</v>
      </c>
      <c r="P22" s="300"/>
      <c r="W22" s="3" t="b">
        <f t="shared" si="0"/>
        <v>1</v>
      </c>
      <c r="X22" s="428">
        <f t="shared" si="1"/>
        <v>0</v>
      </c>
      <c r="Y22" s="428">
        <f t="shared" si="2"/>
        <v>0</v>
      </c>
    </row>
    <row r="23" spans="1:25" ht="40.5" customHeight="1" x14ac:dyDescent="0.3">
      <c r="A23" s="318">
        <f>'Unit Data from Audit Worksheet'!A26</f>
        <v>503</v>
      </c>
      <c r="B23" s="332" t="str">
        <f>'Unit Data from Audit Worksheet'!C26</f>
        <v>Net Position-Business Activities</v>
      </c>
      <c r="C23" s="317" t="str">
        <f>'Unit Data from Audit Worksheet'!D26</f>
        <v>All restricted Cash and investments</v>
      </c>
      <c r="D23" s="110"/>
      <c r="E23" s="338">
        <f>'Unit Data from Audit Worksheet'!F26</f>
        <v>0</v>
      </c>
      <c r="F23" s="331">
        <f>IF(L23&lt;0,"Error: Number is normally positive.",)</f>
        <v>0</v>
      </c>
      <c r="G23" s="333"/>
      <c r="H23" s="330">
        <f>'Unit Data from Audit Worksheet'!I26</f>
        <v>0</v>
      </c>
      <c r="I23" s="38"/>
      <c r="J23" s="329">
        <v>503</v>
      </c>
      <c r="K23" s="328" t="s">
        <v>186</v>
      </c>
      <c r="L23" s="431">
        <f t="shared" si="4"/>
        <v>0</v>
      </c>
      <c r="P23" s="300"/>
      <c r="W23" s="3" t="b">
        <f t="shared" si="0"/>
        <v>1</v>
      </c>
      <c r="X23" s="428">
        <f t="shared" si="1"/>
        <v>0</v>
      </c>
      <c r="Y23" s="428">
        <f t="shared" si="2"/>
        <v>0</v>
      </c>
    </row>
    <row r="24" spans="1:25" ht="39" customHeight="1" x14ac:dyDescent="0.3">
      <c r="A24" s="318">
        <f>'Unit Data from Audit Worksheet'!A28</f>
        <v>344</v>
      </c>
      <c r="B24" s="332" t="str">
        <f>'Unit Data from Audit Worksheet'!C28</f>
        <v>Statement of Activities - Governmental</v>
      </c>
      <c r="C24" s="317" t="str">
        <f>'Unit Data from Audit Worksheet'!D28</f>
        <v xml:space="preserve">Total Interest expense on Long-Term Debt </v>
      </c>
      <c r="D24" s="110"/>
      <c r="E24" s="338">
        <f>'Unit Data from Audit Worksheet'!F28</f>
        <v>0</v>
      </c>
      <c r="F24" s="331">
        <f>IF(L24&lt;0,"Error: Enter as a positive.",)</f>
        <v>0</v>
      </c>
      <c r="G24" s="333"/>
      <c r="H24" s="330">
        <f>'Unit Data from Audit Worksheet'!I28</f>
        <v>0</v>
      </c>
      <c r="I24" s="38"/>
      <c r="J24" s="329">
        <v>344</v>
      </c>
      <c r="K24" s="328" t="s">
        <v>187</v>
      </c>
      <c r="L24" s="431">
        <f t="shared" si="4"/>
        <v>0</v>
      </c>
      <c r="P24" s="300"/>
      <c r="W24" s="3" t="b">
        <f t="shared" si="0"/>
        <v>1</v>
      </c>
      <c r="X24" s="428">
        <f t="shared" si="1"/>
        <v>0</v>
      </c>
      <c r="Y24" s="428">
        <f t="shared" si="2"/>
        <v>0</v>
      </c>
    </row>
    <row r="25" spans="1:25" ht="39" customHeight="1" x14ac:dyDescent="0.3">
      <c r="A25" s="318">
        <f>'Unit Data from Audit Worksheet'!A29</f>
        <v>388</v>
      </c>
      <c r="B25" s="332" t="str">
        <f>'Unit Data from Audit Worksheet'!C29</f>
        <v>Statement of Activities - Governmental</v>
      </c>
      <c r="C25" s="317" t="str">
        <f>'Unit Data from Audit Worksheet'!D29</f>
        <v>Total Expenses</v>
      </c>
      <c r="D25" s="110"/>
      <c r="E25" s="338">
        <f>'Unit Data from Audit Worksheet'!F29</f>
        <v>0</v>
      </c>
      <c r="F25" s="331">
        <f t="shared" ref="F25:F30" si="5">IF(L25&lt;0,"Error: Number is normally positive.",)</f>
        <v>0</v>
      </c>
      <c r="G25" s="333"/>
      <c r="H25" s="330">
        <f>'Unit Data from Audit Worksheet'!I29</f>
        <v>0</v>
      </c>
      <c r="I25" s="38"/>
      <c r="J25" s="329">
        <v>388</v>
      </c>
      <c r="K25" s="328" t="s">
        <v>188</v>
      </c>
      <c r="L25" s="431">
        <f t="shared" si="4"/>
        <v>0</v>
      </c>
      <c r="P25" s="300"/>
      <c r="W25" s="3" t="b">
        <f t="shared" si="0"/>
        <v>1</v>
      </c>
      <c r="X25" s="428">
        <f t="shared" si="1"/>
        <v>0</v>
      </c>
      <c r="Y25" s="428">
        <f t="shared" si="2"/>
        <v>0</v>
      </c>
    </row>
    <row r="26" spans="1:25" ht="39" customHeight="1" x14ac:dyDescent="0.3">
      <c r="A26" s="318">
        <f>'Unit Data from Audit Worksheet'!A30</f>
        <v>339</v>
      </c>
      <c r="B26" s="332" t="str">
        <f>'Unit Data from Audit Worksheet'!C30</f>
        <v>Statement of Activities - Governmental</v>
      </c>
      <c r="C26" s="317" t="str">
        <f>'Unit Data from Audit Worksheet'!D30</f>
        <v xml:space="preserve">Charges for services </v>
      </c>
      <c r="D26" s="110"/>
      <c r="E26" s="338">
        <f>'Unit Data from Audit Worksheet'!F30</f>
        <v>0</v>
      </c>
      <c r="F26" s="331">
        <f t="shared" si="5"/>
        <v>0</v>
      </c>
      <c r="G26" s="333"/>
      <c r="H26" s="330">
        <f>'Unit Data from Audit Worksheet'!I30</f>
        <v>0</v>
      </c>
      <c r="I26" s="38"/>
      <c r="J26" s="329">
        <v>339</v>
      </c>
      <c r="K26" s="328" t="s">
        <v>189</v>
      </c>
      <c r="L26" s="431">
        <f t="shared" si="4"/>
        <v>0</v>
      </c>
      <c r="P26" s="300"/>
      <c r="W26" s="3" t="b">
        <f t="shared" si="0"/>
        <v>1</v>
      </c>
      <c r="X26" s="428">
        <f t="shared" si="1"/>
        <v>0</v>
      </c>
      <c r="Y26" s="428">
        <f t="shared" si="2"/>
        <v>0</v>
      </c>
    </row>
    <row r="27" spans="1:25" ht="39" customHeight="1" x14ac:dyDescent="0.3">
      <c r="A27" s="318">
        <f>'Unit Data from Audit Worksheet'!A31</f>
        <v>504</v>
      </c>
      <c r="B27" s="332" t="str">
        <f>'Unit Data from Audit Worksheet'!C31</f>
        <v>Statement of Activities - Governmental</v>
      </c>
      <c r="C27" s="317" t="str">
        <f>'Unit Data from Audit Worksheet'!D31</f>
        <v>Operating grants and contributions</v>
      </c>
      <c r="D27" s="110"/>
      <c r="E27" s="338">
        <f>'Unit Data from Audit Worksheet'!F31</f>
        <v>0</v>
      </c>
      <c r="F27" s="331">
        <f t="shared" si="5"/>
        <v>0</v>
      </c>
      <c r="G27" s="333"/>
      <c r="H27" s="330">
        <f>'Unit Data from Audit Worksheet'!I31</f>
        <v>0</v>
      </c>
      <c r="I27" s="38"/>
      <c r="J27" s="329">
        <v>504</v>
      </c>
      <c r="K27" s="328" t="s">
        <v>190</v>
      </c>
      <c r="L27" s="431">
        <f t="shared" si="4"/>
        <v>0</v>
      </c>
      <c r="P27" s="300"/>
      <c r="W27" s="3" t="b">
        <f t="shared" si="0"/>
        <v>1</v>
      </c>
      <c r="X27" s="428">
        <f t="shared" si="1"/>
        <v>0</v>
      </c>
      <c r="Y27" s="428">
        <f t="shared" si="2"/>
        <v>0</v>
      </c>
    </row>
    <row r="28" spans="1:25" ht="39" customHeight="1" x14ac:dyDescent="0.3">
      <c r="A28" s="318">
        <f>'Unit Data from Audit Worksheet'!A32</f>
        <v>505</v>
      </c>
      <c r="B28" s="332" t="str">
        <f>'Unit Data from Audit Worksheet'!C32</f>
        <v>Statement of Activities - Governmental</v>
      </c>
      <c r="C28" s="317" t="str">
        <f>'Unit Data from Audit Worksheet'!D32</f>
        <v>Capital grants and contributions</v>
      </c>
      <c r="D28" s="110"/>
      <c r="E28" s="338">
        <f>'Unit Data from Audit Worksheet'!F32</f>
        <v>0</v>
      </c>
      <c r="F28" s="331">
        <f t="shared" si="5"/>
        <v>0</v>
      </c>
      <c r="G28" s="333"/>
      <c r="H28" s="330">
        <f>'Unit Data from Audit Worksheet'!I32</f>
        <v>0</v>
      </c>
      <c r="I28" s="38"/>
      <c r="J28" s="329">
        <v>505</v>
      </c>
      <c r="K28" s="328" t="s">
        <v>191</v>
      </c>
      <c r="L28" s="431">
        <f t="shared" si="4"/>
        <v>0</v>
      </c>
      <c r="P28" s="300"/>
      <c r="W28" s="3" t="b">
        <f t="shared" si="0"/>
        <v>1</v>
      </c>
      <c r="X28" s="428">
        <f t="shared" si="1"/>
        <v>0</v>
      </c>
      <c r="Y28" s="428">
        <f t="shared" si="2"/>
        <v>0</v>
      </c>
    </row>
    <row r="29" spans="1:25" ht="82.5" customHeight="1" x14ac:dyDescent="0.3">
      <c r="A29" s="318">
        <f>'Unit Data from Audit Worksheet'!A33</f>
        <v>341</v>
      </c>
      <c r="B29" s="332" t="str">
        <f>'Unit Data from Audit Worksheet'!C33</f>
        <v>Statement of Activities - Governmental</v>
      </c>
      <c r="C29" s="317" t="str">
        <f>'Unit Data from Audit Worksheet'!D33</f>
        <v>Total General revenues
Exclude: transfers-in or out,
                 special items,
                 extraordinary amounts</v>
      </c>
      <c r="D29" s="110"/>
      <c r="E29" s="338">
        <f>'Unit Data from Audit Worksheet'!F33</f>
        <v>0</v>
      </c>
      <c r="F29" s="331">
        <f t="shared" si="5"/>
        <v>0</v>
      </c>
      <c r="G29" s="333"/>
      <c r="H29" s="330">
        <f>'Unit Data from Audit Worksheet'!I33</f>
        <v>0</v>
      </c>
      <c r="I29" s="38"/>
      <c r="J29" s="329">
        <v>341</v>
      </c>
      <c r="K29" s="328" t="s">
        <v>192</v>
      </c>
      <c r="L29" s="431">
        <f t="shared" si="4"/>
        <v>0</v>
      </c>
      <c r="P29" s="300"/>
      <c r="W29" s="3" t="b">
        <f t="shared" si="0"/>
        <v>1</v>
      </c>
      <c r="X29" s="428">
        <f t="shared" si="1"/>
        <v>0</v>
      </c>
      <c r="Y29" s="428">
        <f t="shared" si="2"/>
        <v>0</v>
      </c>
    </row>
    <row r="30" spans="1:25" ht="82.5" customHeight="1" x14ac:dyDescent="0.3">
      <c r="A30" s="318">
        <f>'Unit Data from Audit Worksheet'!A34</f>
        <v>386</v>
      </c>
      <c r="B30" s="332" t="str">
        <f>'Unit Data from Audit Worksheet'!C34</f>
        <v>Statement of Activities - Governmental</v>
      </c>
      <c r="C30" s="317" t="str">
        <f>'Unit Data from Audit Worksheet'!D34</f>
        <v>Total Transfers in    (Preference is that transfers-in  are not netted against transfers-out)</v>
      </c>
      <c r="D30" s="110"/>
      <c r="E30" s="338">
        <f>'Unit Data from Audit Worksheet'!F34</f>
        <v>0</v>
      </c>
      <c r="F30" s="331">
        <f t="shared" si="5"/>
        <v>0</v>
      </c>
      <c r="G30" s="333"/>
      <c r="H30" s="330">
        <f>'Unit Data from Audit Worksheet'!I34</f>
        <v>0</v>
      </c>
      <c r="I30" s="38"/>
      <c r="J30" s="329">
        <v>386</v>
      </c>
      <c r="K30" s="328" t="s">
        <v>193</v>
      </c>
      <c r="L30" s="431">
        <f t="shared" si="4"/>
        <v>0</v>
      </c>
      <c r="P30" s="300"/>
      <c r="W30" s="3" t="b">
        <f t="shared" si="0"/>
        <v>1</v>
      </c>
      <c r="X30" s="428">
        <f t="shared" si="1"/>
        <v>0</v>
      </c>
      <c r="Y30" s="428">
        <f t="shared" si="2"/>
        <v>0</v>
      </c>
    </row>
    <row r="31" spans="1:25" ht="82.5" customHeight="1" x14ac:dyDescent="0.3">
      <c r="A31" s="318">
        <f>'Unit Data from Audit Worksheet'!A35</f>
        <v>387</v>
      </c>
      <c r="B31" s="332" t="str">
        <f>'Unit Data from Audit Worksheet'!C35</f>
        <v>Statement of Activities - Governmental</v>
      </c>
      <c r="C31" s="317" t="str">
        <f>'Unit Data from Audit Worksheet'!D35</f>
        <v>Total Transfers out    (Preference is that transfers-in  are not netted against transfers-out)</v>
      </c>
      <c r="D31" s="110"/>
      <c r="E31" s="338">
        <f>'Unit Data from Audit Worksheet'!F35</f>
        <v>0</v>
      </c>
      <c r="F31" s="331">
        <f>IF(L31&lt;0,"Error: Enter as a positive.",)</f>
        <v>0</v>
      </c>
      <c r="G31" s="333"/>
      <c r="H31" s="330">
        <f>'Unit Data from Audit Worksheet'!I35</f>
        <v>0</v>
      </c>
      <c r="I31" s="38"/>
      <c r="J31" s="329">
        <v>387</v>
      </c>
      <c r="K31" s="328" t="s">
        <v>194</v>
      </c>
      <c r="L31" s="431">
        <f t="shared" si="4"/>
        <v>0</v>
      </c>
      <c r="P31" s="300"/>
      <c r="W31" s="3" t="b">
        <f t="shared" si="0"/>
        <v>1</v>
      </c>
      <c r="X31" s="428">
        <f t="shared" si="1"/>
        <v>0</v>
      </c>
      <c r="Y31" s="428">
        <f t="shared" si="2"/>
        <v>0</v>
      </c>
    </row>
    <row r="32" spans="1:25" ht="82.5" customHeight="1" x14ac:dyDescent="0.3">
      <c r="A32" s="318">
        <f>'Unit Data from Audit Worksheet'!A36</f>
        <v>389</v>
      </c>
      <c r="B32" s="332" t="str">
        <f>'Unit Data from Audit Worksheet'!C36</f>
        <v>Statement of Activities - Governmental</v>
      </c>
      <c r="C32" s="317" t="str">
        <f>'Unit Data from Audit Worksheet'!D36</f>
        <v>Total Special and Extraordinary items.    (Amounts that increase net position are recorded as positive and amounts that decrease net position are recorded as negative)</v>
      </c>
      <c r="D32" s="110"/>
      <c r="E32" s="338">
        <f>'Unit Data from Audit Worksheet'!F36</f>
        <v>0</v>
      </c>
      <c r="F32" s="331"/>
      <c r="G32" s="333"/>
      <c r="H32" s="330">
        <f>'Unit Data from Audit Worksheet'!I36</f>
        <v>0</v>
      </c>
      <c r="I32" s="38"/>
      <c r="J32" s="329">
        <v>389</v>
      </c>
      <c r="K32" s="328" t="s">
        <v>195</v>
      </c>
      <c r="L32" s="431">
        <f t="shared" si="4"/>
        <v>0</v>
      </c>
      <c r="N32" s="440"/>
      <c r="P32" s="300"/>
      <c r="W32" s="3" t="b">
        <f t="shared" si="0"/>
        <v>1</v>
      </c>
      <c r="X32" s="428">
        <f t="shared" si="1"/>
        <v>0</v>
      </c>
      <c r="Y32" s="428">
        <f t="shared" si="2"/>
        <v>0</v>
      </c>
    </row>
    <row r="33" spans="1:25" ht="79.5" customHeight="1" x14ac:dyDescent="0.3">
      <c r="A33" s="318">
        <f>'Unit Data from Audit Worksheet'!A37</f>
        <v>255</v>
      </c>
      <c r="B33" s="332" t="str">
        <f>'Unit Data from Audit Worksheet'!C37</f>
        <v>Statement of Activities - Governmental</v>
      </c>
      <c r="C33" s="317" t="str">
        <f>'Unit Data from Audit Worksheet'!D37</f>
        <v>Total Change in net position - (Increase in net position is recorded as a positive and a decrease in net position is recorded as a negative)</v>
      </c>
      <c r="D33" s="110"/>
      <c r="E33" s="338">
        <f>'Unit Data from Audit Worksheet'!F37</f>
        <v>0</v>
      </c>
      <c r="F33" s="331">
        <f>IF((L26+L27+L28+L29+L30-L31+L32-L25-L33)=0,,"Total revenues less total expenses do not equal total change in net position. Acct 339+504+505+341+386-387+389-388-255=0")</f>
        <v>0</v>
      </c>
      <c r="G33" s="91">
        <f>L26+L27+L28+L29+L30-L31+L32-L25-L33</f>
        <v>0</v>
      </c>
      <c r="H33" s="330">
        <f>'Unit Data from Audit Worksheet'!I37</f>
        <v>0</v>
      </c>
      <c r="I33" s="38"/>
      <c r="J33" s="329">
        <v>255</v>
      </c>
      <c r="K33" s="328" t="s">
        <v>196</v>
      </c>
      <c r="L33" s="431">
        <f t="shared" si="4"/>
        <v>0</v>
      </c>
      <c r="O33" s="439" t="e">
        <f>'Unit Data from Audit Worksheet'!E37</f>
        <v>#N/A</v>
      </c>
      <c r="P33" s="300"/>
      <c r="Q33" s="421">
        <f>IF(G33&lt;&gt;0,1,0)</f>
        <v>0</v>
      </c>
      <c r="W33" s="3" t="b">
        <f t="shared" si="0"/>
        <v>1</v>
      </c>
      <c r="X33" s="428">
        <f t="shared" si="1"/>
        <v>0</v>
      </c>
      <c r="Y33" s="428">
        <f t="shared" si="2"/>
        <v>0</v>
      </c>
    </row>
    <row r="34" spans="1:25" ht="89.25" customHeight="1" x14ac:dyDescent="0.3">
      <c r="A34" s="318">
        <f>'Unit Data from Audit Worksheet'!A38</f>
        <v>376</v>
      </c>
      <c r="B34" s="332" t="str">
        <f>'Unit Data from Audit Worksheet'!C38</f>
        <v>Statement of Activities - Governmental</v>
      </c>
      <c r="C34" s="317" t="str">
        <f>'Unit Data from Audit Worksheet'!D38</f>
        <v>Any adjustment to beginning net position including rounding, prior period adjustments and restatements.   (Increases to net position are positive; decreases to net position are negative)</v>
      </c>
      <c r="D34" s="110"/>
      <c r="E34" s="338">
        <f>'Unit Data from Audit Worksheet'!F38</f>
        <v>0</v>
      </c>
      <c r="F34" s="87" t="e">
        <f>IF(L19+L20+L21-L33-L34=O19+O20+O21,,"Beginning Balance does not agree with our records acct (252+253+254-255-376=PY252+PY253+PY254)")</f>
        <v>#N/A</v>
      </c>
      <c r="G34" s="92" t="e">
        <f>L19+L20+L21-L33-L34-(O19+O20+O21)</f>
        <v>#N/A</v>
      </c>
      <c r="H34" s="330" t="str">
        <f>'Unit Data from Audit Worksheet'!I38</f>
        <v>Please do not enter prior's years beginning balance as an adjustment in column F.</v>
      </c>
      <c r="I34" s="38"/>
      <c r="J34" s="329">
        <v>376</v>
      </c>
      <c r="K34" s="328" t="s">
        <v>108</v>
      </c>
      <c r="L34" s="431">
        <f t="shared" si="4"/>
        <v>0</v>
      </c>
      <c r="O34" s="439" t="e">
        <f>'Unit Data from Audit Worksheet'!E38</f>
        <v>#N/A</v>
      </c>
      <c r="P34" s="300"/>
      <c r="Q34" s="421" t="e">
        <f>IF(G34&lt;&gt;0,1,0)</f>
        <v>#N/A</v>
      </c>
      <c r="W34" s="3" t="b">
        <f t="shared" si="0"/>
        <v>1</v>
      </c>
      <c r="X34" s="428">
        <f t="shared" si="1"/>
        <v>0</v>
      </c>
      <c r="Y34" s="428">
        <f t="shared" si="2"/>
        <v>0</v>
      </c>
    </row>
    <row r="35" spans="1:25" ht="157.5" customHeight="1" x14ac:dyDescent="0.3">
      <c r="A35" s="318">
        <f>'Unit Data from Audit Worksheet'!A39</f>
        <v>597</v>
      </c>
      <c r="B35" s="332" t="str">
        <f>'Unit Data from Audit Worksheet'!C39</f>
        <v>Statement of Activities                               (all governmental and business funds)</v>
      </c>
      <c r="C35" s="317"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38">
        <f>'Unit Data from Audit Worksheet'!F39</f>
        <v>0</v>
      </c>
      <c r="F35" s="331">
        <f>IF(L35&lt;0,"Error: Number is normally positive.",)</f>
        <v>0</v>
      </c>
      <c r="G35" s="333"/>
      <c r="H35" s="330">
        <f>'Unit Data from Audit Worksheet'!I39</f>
        <v>0</v>
      </c>
      <c r="I35" s="38"/>
      <c r="J35" s="329">
        <v>597</v>
      </c>
      <c r="K35" s="328" t="s">
        <v>400</v>
      </c>
      <c r="L35" s="431">
        <f t="shared" si="4"/>
        <v>0</v>
      </c>
      <c r="O35" s="439"/>
      <c r="P35" s="300"/>
      <c r="W35" s="3" t="b">
        <f t="shared" si="0"/>
        <v>1</v>
      </c>
      <c r="X35" s="428">
        <f t="shared" si="1"/>
        <v>0</v>
      </c>
      <c r="Y35" s="428">
        <f t="shared" si="2"/>
        <v>0</v>
      </c>
    </row>
    <row r="36" spans="1:25" ht="90" customHeight="1" x14ac:dyDescent="0.3">
      <c r="A36" s="318">
        <f>'Unit Data from Audit Worksheet'!A41</f>
        <v>592</v>
      </c>
      <c r="B36" s="332" t="str">
        <f>'Unit Data from Audit Worksheet'!C41</f>
        <v>Statement of Activities - Business Activities</v>
      </c>
      <c r="C36" s="317" t="str">
        <f>'Unit Data from Audit Worksheet'!D41</f>
        <v>Total Change in net position Business Type 
(Increase in net position is recorded as a positive and a decrease in net position is recorded as a negative)</v>
      </c>
      <c r="D36" s="110"/>
      <c r="E36" s="338">
        <f>'Unit Data from Audit Worksheet'!F41</f>
        <v>0</v>
      </c>
      <c r="F36" s="331"/>
      <c r="G36" s="333"/>
      <c r="H36" s="330">
        <f>'Unit Data from Audit Worksheet'!I41</f>
        <v>0</v>
      </c>
      <c r="I36" s="38"/>
      <c r="J36" s="329">
        <v>592</v>
      </c>
      <c r="K36" s="328" t="s">
        <v>366</v>
      </c>
      <c r="L36" s="431">
        <f t="shared" si="4"/>
        <v>0</v>
      </c>
      <c r="O36" s="439"/>
      <c r="P36" s="300"/>
      <c r="W36" s="3" t="b">
        <f t="shared" ref="W36:W66" si="6">EXACT(A36,J36)</f>
        <v>1</v>
      </c>
      <c r="X36" s="428">
        <f t="shared" si="1"/>
        <v>0</v>
      </c>
      <c r="Y36" s="428">
        <f t="shared" si="2"/>
        <v>0</v>
      </c>
    </row>
    <row r="37" spans="1:25" ht="66" customHeight="1" x14ac:dyDescent="0.3">
      <c r="A37" s="318">
        <f>'Unit Data from Audit Worksheet'!A42</f>
        <v>591</v>
      </c>
      <c r="B37" s="332" t="str">
        <f>'Unit Data from Audit Worksheet'!C42</f>
        <v>Statement of Activities - Business Activities</v>
      </c>
      <c r="C37" s="317" t="str">
        <f>'Unit Data from Audit Worksheet'!D42</f>
        <v>Total Expenses - Exclude Transfers</v>
      </c>
      <c r="D37" s="110"/>
      <c r="E37" s="338">
        <f>'Unit Data from Audit Worksheet'!F42</f>
        <v>0</v>
      </c>
      <c r="F37" s="331">
        <f>IF(L37&lt;0,"Error: Enter as a positive.",)</f>
        <v>0</v>
      </c>
      <c r="G37" s="333"/>
      <c r="H37" s="330">
        <f>'Unit Data from Audit Worksheet'!I42</f>
        <v>0</v>
      </c>
      <c r="I37" s="38"/>
      <c r="J37" s="329">
        <v>591</v>
      </c>
      <c r="K37" s="328" t="s">
        <v>365</v>
      </c>
      <c r="L37" s="431">
        <f t="shared" si="4"/>
        <v>0</v>
      </c>
      <c r="O37" s="439"/>
      <c r="P37" s="300"/>
      <c r="W37" s="3" t="b">
        <f t="shared" si="6"/>
        <v>1</v>
      </c>
      <c r="X37" s="428">
        <f t="shared" si="1"/>
        <v>0</v>
      </c>
      <c r="Y37" s="428">
        <f t="shared" si="2"/>
        <v>0</v>
      </c>
    </row>
    <row r="38" spans="1:25" s="546" customFormat="1" ht="66" customHeight="1" x14ac:dyDescent="0.3">
      <c r="A38" s="318">
        <f>'Unit Data from Audit Worksheet'!A43</f>
        <v>593</v>
      </c>
      <c r="B38" s="332" t="str">
        <f>'Unit Data from Audit Worksheet'!C43</f>
        <v>Statement of Activities - Business Activities</v>
      </c>
      <c r="C38" s="317" t="str">
        <f>'Unit Data from Audit Worksheet'!D43</f>
        <v>Total Transfers in    (Preference is that transfers-in  are not netted against transfers-out)</v>
      </c>
      <c r="D38" s="110"/>
      <c r="E38" s="338">
        <f>'Unit Data from Audit Worksheet'!F43</f>
        <v>0</v>
      </c>
      <c r="F38" s="331"/>
      <c r="G38" s="333"/>
      <c r="H38" s="330"/>
      <c r="I38" s="548"/>
      <c r="J38" s="329">
        <v>593</v>
      </c>
      <c r="K38" s="551" t="s">
        <v>816</v>
      </c>
      <c r="L38" s="431">
        <f t="shared" si="4"/>
        <v>0</v>
      </c>
      <c r="O38" s="439"/>
      <c r="P38" s="300"/>
      <c r="Q38" s="421"/>
      <c r="X38" s="428"/>
      <c r="Y38" s="428"/>
    </row>
    <row r="39" spans="1:25" s="546" customFormat="1" ht="66" customHeight="1" x14ac:dyDescent="0.3">
      <c r="A39" s="318">
        <f>'Unit Data from Audit Worksheet'!A44</f>
        <v>594</v>
      </c>
      <c r="B39" s="332" t="str">
        <f>'Unit Data from Audit Worksheet'!C44</f>
        <v>Statement of Activities - Business Activities</v>
      </c>
      <c r="C39" s="317" t="str">
        <f>'Unit Data from Audit Worksheet'!D44</f>
        <v>Total Transfers out    (Preference is that transfers-in  are not netted against transfers-out)</v>
      </c>
      <c r="D39" s="110"/>
      <c r="E39" s="338">
        <f>'Unit Data from Audit Worksheet'!F44</f>
        <v>0</v>
      </c>
      <c r="F39" s="331"/>
      <c r="G39" s="333"/>
      <c r="H39" s="330"/>
      <c r="I39" s="548"/>
      <c r="J39" s="329">
        <v>594</v>
      </c>
      <c r="K39" s="551" t="s">
        <v>817</v>
      </c>
      <c r="L39" s="431">
        <f t="shared" si="4"/>
        <v>0</v>
      </c>
      <c r="O39" s="439"/>
      <c r="P39" s="300"/>
      <c r="Q39" s="421"/>
      <c r="X39" s="428"/>
      <c r="Y39" s="428"/>
    </row>
    <row r="40" spans="1:25" s="546" customFormat="1" ht="66" customHeight="1" x14ac:dyDescent="0.3">
      <c r="A40" s="318">
        <f>'Unit Data from Audit Worksheet'!A46</f>
        <v>558</v>
      </c>
      <c r="B40" s="332" t="str">
        <f>'Unit Data from Audit Worksheet'!C46</f>
        <v>Mental Health-Balance Sheet - Non GAAP</v>
      </c>
      <c r="C40" s="317" t="str">
        <f>'Unit Data from Audit Worksheet'!D46</f>
        <v xml:space="preserve">All unrestricted cash and investments.  
Exclude restricted cash and cash held by a third party. </v>
      </c>
      <c r="D40" s="110"/>
      <c r="E40" s="338">
        <f>'Unit Data from Audit Worksheet'!F46</f>
        <v>0</v>
      </c>
      <c r="F40" s="331"/>
      <c r="G40" s="333"/>
      <c r="H40" s="330"/>
      <c r="I40" s="548"/>
      <c r="J40" s="329">
        <v>558</v>
      </c>
      <c r="K40" s="547" t="s">
        <v>818</v>
      </c>
      <c r="L40" s="431">
        <f t="shared" si="4"/>
        <v>0</v>
      </c>
      <c r="O40" s="439"/>
      <c r="P40" s="300"/>
      <c r="Q40" s="421"/>
      <c r="X40" s="428"/>
      <c r="Y40" s="428"/>
    </row>
    <row r="41" spans="1:25" s="546" customFormat="1" ht="66" customHeight="1" x14ac:dyDescent="0.3">
      <c r="A41" s="318">
        <f>'Unit Data from Audit Worksheet'!A47</f>
        <v>559</v>
      </c>
      <c r="B41" s="332" t="str">
        <f>'Unit Data from Audit Worksheet'!C47</f>
        <v>Mental Health-Balance Sheet - Non GAAP</v>
      </c>
      <c r="C41" s="317" t="str">
        <f>'Unit Data from Audit Worksheet'!D47</f>
        <v>All restricted cash and investments</v>
      </c>
      <c r="D41" s="110"/>
      <c r="E41" s="338">
        <f>'Unit Data from Audit Worksheet'!F47</f>
        <v>0</v>
      </c>
      <c r="F41" s="331"/>
      <c r="G41" s="333"/>
      <c r="H41" s="330"/>
      <c r="I41" s="548"/>
      <c r="J41" s="329">
        <v>559</v>
      </c>
      <c r="K41" s="547" t="s">
        <v>819</v>
      </c>
      <c r="L41" s="431">
        <f t="shared" si="4"/>
        <v>0</v>
      </c>
      <c r="O41" s="439"/>
      <c r="P41" s="300"/>
      <c r="Q41" s="421"/>
      <c r="X41" s="428"/>
      <c r="Y41" s="428"/>
    </row>
    <row r="42" spans="1:25" s="546" customFormat="1" ht="124.5" customHeight="1" x14ac:dyDescent="0.3">
      <c r="A42" s="318">
        <f>'Unit Data from Audit Worksheet'!A48</f>
        <v>560</v>
      </c>
      <c r="B42" s="332" t="str">
        <f>'Unit Data from Audit Worksheet'!C48</f>
        <v>Mental Health-Balance Sheet - Non GAAP</v>
      </c>
      <c r="C42" s="317" t="str">
        <f>'Unit Data from Audit Worksheet'!D48</f>
        <v>Current Liabilities 
Exclude: all deferred inflows
                 current debt service payments
Include: Liabilities payable from restricted assets.</v>
      </c>
      <c r="D42" s="110"/>
      <c r="E42" s="338">
        <f>'Unit Data from Audit Worksheet'!F48</f>
        <v>0</v>
      </c>
      <c r="F42" s="331"/>
      <c r="G42" s="333"/>
      <c r="H42" s="330"/>
      <c r="I42" s="548"/>
      <c r="J42" s="329">
        <v>560</v>
      </c>
      <c r="K42" s="547" t="s">
        <v>820</v>
      </c>
      <c r="L42" s="431">
        <f t="shared" si="4"/>
        <v>0</v>
      </c>
      <c r="O42" s="439"/>
      <c r="P42" s="300"/>
      <c r="Q42" s="421"/>
      <c r="X42" s="428"/>
      <c r="Y42" s="428"/>
    </row>
    <row r="43" spans="1:25" s="546" customFormat="1" ht="66" customHeight="1" x14ac:dyDescent="0.3">
      <c r="A43" s="318">
        <f>'Unit Data from Audit Worksheet'!A49</f>
        <v>561</v>
      </c>
      <c r="B43" s="332" t="str">
        <f>'Unit Data from Audit Worksheet'!C49</f>
        <v>Mental Health-Balance Sheet - Non GAAP</v>
      </c>
      <c r="C43" s="317" t="str">
        <f>'Unit Data from Audit Worksheet'!D49</f>
        <v xml:space="preserve">Mental Health Enterprise Fund Non GAAP deferred inflows or liabilities derived from cash receipts.   </v>
      </c>
      <c r="D43" s="110"/>
      <c r="E43" s="338">
        <f>'Unit Data from Audit Worksheet'!F49</f>
        <v>0</v>
      </c>
      <c r="F43" s="331"/>
      <c r="G43" s="333"/>
      <c r="H43" s="330"/>
      <c r="I43" s="548"/>
      <c r="J43" s="329">
        <v>561</v>
      </c>
      <c r="K43" s="547" t="s">
        <v>821</v>
      </c>
      <c r="L43" s="431">
        <f t="shared" si="4"/>
        <v>0</v>
      </c>
      <c r="O43" s="439"/>
      <c r="P43" s="300"/>
      <c r="Q43" s="421"/>
      <c r="X43" s="428"/>
      <c r="Y43" s="428"/>
    </row>
    <row r="44" spans="1:25" s="546" customFormat="1" ht="137.25" customHeight="1" x14ac:dyDescent="0.3">
      <c r="A44" s="318">
        <f>'Unit Data from Audit Worksheet'!A50</f>
        <v>563</v>
      </c>
      <c r="B44" s="332" t="str">
        <f>'Unit Data from Audit Worksheet'!C50</f>
        <v>Mental Health-Balance Sheet - Non GAAP</v>
      </c>
      <c r="C44" s="317"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38">
        <f>'Unit Data from Audit Worksheet'!F50</f>
        <v>0</v>
      </c>
      <c r="F44" s="331"/>
      <c r="G44" s="333"/>
      <c r="H44" s="330"/>
      <c r="I44" s="548"/>
      <c r="J44" s="329">
        <v>563</v>
      </c>
      <c r="K44" s="547" t="s">
        <v>822</v>
      </c>
      <c r="L44" s="431">
        <f t="shared" si="4"/>
        <v>0</v>
      </c>
      <c r="O44" s="439"/>
      <c r="P44" s="300"/>
      <c r="Q44" s="421"/>
      <c r="X44" s="428"/>
      <c r="Y44" s="428"/>
    </row>
    <row r="45" spans="1:25" s="546" customFormat="1" ht="66" customHeight="1" x14ac:dyDescent="0.3">
      <c r="A45" s="318">
        <f>'Unit Data from Audit Worksheet'!A51</f>
        <v>564</v>
      </c>
      <c r="B45" s="332" t="str">
        <f>'Unit Data from Audit Worksheet'!C51</f>
        <v>Mental Health Enterprise Fund Non GAAP-Rev, Exp. Change in Fund Balance</v>
      </c>
      <c r="C45" s="317" t="str">
        <f>'Unit Data from Audit Worksheet'!D51</f>
        <v>Total expenditures  
Exclude: expenditures in the ""other financing sources (uses)"" section.</v>
      </c>
      <c r="D45" s="110"/>
      <c r="E45" s="338">
        <f>'Unit Data from Audit Worksheet'!F51</f>
        <v>0</v>
      </c>
      <c r="F45" s="331"/>
      <c r="G45" s="333"/>
      <c r="H45" s="330"/>
      <c r="I45" s="548"/>
      <c r="J45" s="329">
        <v>564</v>
      </c>
      <c r="K45" s="547" t="s">
        <v>823</v>
      </c>
      <c r="L45" s="431">
        <f t="shared" si="4"/>
        <v>0</v>
      </c>
      <c r="O45" s="439"/>
      <c r="P45" s="300"/>
      <c r="Q45" s="421"/>
      <c r="X45" s="428"/>
      <c r="Y45" s="428"/>
    </row>
    <row r="46" spans="1:25" s="546" customFormat="1" ht="66" customHeight="1" x14ac:dyDescent="0.3">
      <c r="A46" s="318">
        <f>'Unit Data from Audit Worksheet'!A52</f>
        <v>568</v>
      </c>
      <c r="B46" s="332" t="str">
        <f>'Unit Data from Audit Worksheet'!C52</f>
        <v>Mental Health Enterprise Fund Non GAAP-Rev, Exp. Change in Fund Balance</v>
      </c>
      <c r="C46" s="317" t="str">
        <f>'Unit Data from Audit Worksheet'!D52</f>
        <v>Total Proceeds from all long-term debt issuances 
Exclude: proceeds from refundings</v>
      </c>
      <c r="D46" s="110"/>
      <c r="E46" s="338">
        <f>'Unit Data from Audit Worksheet'!F52</f>
        <v>0</v>
      </c>
      <c r="F46" s="331"/>
      <c r="G46" s="333"/>
      <c r="H46" s="330"/>
      <c r="I46" s="548"/>
      <c r="J46" s="329">
        <v>568</v>
      </c>
      <c r="K46" s="547" t="s">
        <v>824</v>
      </c>
      <c r="L46" s="431">
        <f t="shared" si="4"/>
        <v>0</v>
      </c>
      <c r="O46" s="439"/>
      <c r="P46" s="300"/>
      <c r="Q46" s="421"/>
      <c r="X46" s="428"/>
      <c r="Y46" s="428"/>
    </row>
    <row r="47" spans="1:25" s="550" customFormat="1" ht="66" customHeight="1" x14ac:dyDescent="0.3">
      <c r="A47" s="318">
        <f>'Unit Data from Audit Worksheet'!A53</f>
        <v>565</v>
      </c>
      <c r="B47" s="332" t="str">
        <f>'Unit Data from Audit Worksheet'!C53</f>
        <v>Mental Health Enterprise Fund Non GAAP-Rev, Exp. Change in Fund Balance</v>
      </c>
      <c r="C47" s="317" t="str">
        <f>'Unit Data from Audit Worksheet'!D53</f>
        <v>Debt Refunding - Net refunding proceeds against debt payoff and if negative place results on this line.</v>
      </c>
      <c r="D47" s="110"/>
      <c r="E47" s="338">
        <f>'Unit Data from Audit Worksheet'!F53</f>
        <v>0</v>
      </c>
      <c r="F47" s="331"/>
      <c r="G47" s="333"/>
      <c r="H47" s="330"/>
      <c r="I47" s="552"/>
      <c r="J47" s="329">
        <v>565</v>
      </c>
      <c r="K47" s="547" t="s">
        <v>957</v>
      </c>
      <c r="L47" s="431">
        <f t="shared" si="4"/>
        <v>0</v>
      </c>
      <c r="O47" s="439"/>
      <c r="P47" s="300"/>
      <c r="Q47" s="421"/>
      <c r="X47" s="428"/>
      <c r="Y47" s="428"/>
    </row>
    <row r="48" spans="1:25" s="546" customFormat="1" ht="66" customHeight="1" x14ac:dyDescent="0.3">
      <c r="A48" s="318">
        <f>'Unit Data from Audit Worksheet'!A54</f>
        <v>566</v>
      </c>
      <c r="B48" s="332" t="str">
        <f>'Unit Data from Audit Worksheet'!C54</f>
        <v>Mental Health Enterprise Fund Non GAAP-Rev, Exp. Change in Fund Balance</v>
      </c>
      <c r="C48" s="317" t="str">
        <f>'Unit Data from Audit Worksheet'!D54</f>
        <v>Debt Refunding - Net refunding proceeds against debt payoff and if positive place results on this line.</v>
      </c>
      <c r="D48" s="110"/>
      <c r="E48" s="338">
        <f>'Unit Data from Audit Worksheet'!F54</f>
        <v>0</v>
      </c>
      <c r="F48" s="331"/>
      <c r="G48" s="333"/>
      <c r="H48" s="330"/>
      <c r="I48" s="548"/>
      <c r="J48" s="329">
        <v>566</v>
      </c>
      <c r="K48" s="547" t="s">
        <v>825</v>
      </c>
      <c r="L48" s="431">
        <f t="shared" si="4"/>
        <v>0</v>
      </c>
      <c r="O48" s="439"/>
      <c r="P48" s="300"/>
      <c r="Q48" s="421"/>
      <c r="X48" s="428"/>
      <c r="Y48" s="428"/>
    </row>
    <row r="49" spans="1:25" s="546" customFormat="1" ht="66" customHeight="1" x14ac:dyDescent="0.3">
      <c r="A49" s="318">
        <f>'Unit Data from Audit Worksheet'!A55</f>
        <v>567</v>
      </c>
      <c r="B49" s="332" t="str">
        <f>'Unit Data from Audit Worksheet'!C55</f>
        <v>Mental Health Enterprise Fund Non GAAP-Rev, Exp. Change in Fund Balance</v>
      </c>
      <c r="C49" s="317" t="str">
        <f>'Unit Data from Audit Worksheet'!D55</f>
        <v>Total Transfers out    (Preference is that transfers-in  are not netted against transfers-out)</v>
      </c>
      <c r="D49" s="110"/>
      <c r="E49" s="338">
        <f>'Unit Data from Audit Worksheet'!F55</f>
        <v>0</v>
      </c>
      <c r="F49" s="331"/>
      <c r="G49" s="333"/>
      <c r="H49" s="330"/>
      <c r="I49" s="548"/>
      <c r="J49" s="329">
        <v>567</v>
      </c>
      <c r="K49" s="547" t="s">
        <v>826</v>
      </c>
      <c r="L49" s="431">
        <f t="shared" si="4"/>
        <v>0</v>
      </c>
      <c r="O49" s="439"/>
      <c r="P49" s="300"/>
      <c r="Q49" s="421"/>
      <c r="X49" s="428"/>
      <c r="Y49" s="428"/>
    </row>
    <row r="50" spans="1:25" s="546" customFormat="1" ht="66" customHeight="1" x14ac:dyDescent="0.3">
      <c r="A50" s="318">
        <f>'Unit Data from Audit Worksheet'!A56</f>
        <v>562</v>
      </c>
      <c r="B50" s="332" t="str">
        <f>'Unit Data from Audit Worksheet'!C56</f>
        <v>Notes</v>
      </c>
      <c r="C50" s="317" t="str">
        <f>'Unit Data from Audit Worksheet'!D56</f>
        <v>Mental Health Enterprise Fund Non GAAP -  Total Encumbrances.  You will have to refer to the note disclosure where the amount of encumbrances is listed.</v>
      </c>
      <c r="D50" s="110"/>
      <c r="E50" s="338">
        <f>'Unit Data from Audit Worksheet'!F56</f>
        <v>0</v>
      </c>
      <c r="F50" s="331"/>
      <c r="G50" s="333"/>
      <c r="H50" s="330"/>
      <c r="I50" s="548"/>
      <c r="J50" s="329">
        <v>562</v>
      </c>
      <c r="K50" s="547" t="s">
        <v>827</v>
      </c>
      <c r="L50" s="431">
        <f t="shared" si="4"/>
        <v>0</v>
      </c>
      <c r="O50" s="439"/>
      <c r="P50" s="300"/>
      <c r="Q50" s="421"/>
      <c r="X50" s="428"/>
      <c r="Y50" s="428"/>
    </row>
    <row r="51" spans="1:25" s="546" customFormat="1" ht="66" customHeight="1" x14ac:dyDescent="0.3">
      <c r="A51" s="318">
        <f>'Unit Data from Audit Worksheet'!A57</f>
        <v>569</v>
      </c>
      <c r="B51" s="332" t="str">
        <f>'Unit Data from Audit Worksheet'!C57</f>
        <v>Notes</v>
      </c>
      <c r="C51" s="317" t="str">
        <f>'Unit Data from Audit Worksheet'!D57</f>
        <v>Please enter the principal and interest due next fiscal year on existing borrowings.</v>
      </c>
      <c r="D51" s="110"/>
      <c r="E51" s="338">
        <f>'Unit Data from Audit Worksheet'!F57</f>
        <v>0</v>
      </c>
      <c r="F51" s="331"/>
      <c r="G51" s="333"/>
      <c r="H51" s="330"/>
      <c r="I51" s="548"/>
      <c r="J51" s="329">
        <v>569</v>
      </c>
      <c r="K51" s="547" t="s">
        <v>828</v>
      </c>
      <c r="L51" s="431">
        <f t="shared" si="4"/>
        <v>0</v>
      </c>
      <c r="O51" s="439"/>
      <c r="P51" s="300"/>
      <c r="Q51" s="421"/>
      <c r="X51" s="428"/>
      <c r="Y51" s="428"/>
    </row>
    <row r="52" spans="1:25" ht="54" customHeight="1" x14ac:dyDescent="0.3">
      <c r="A52" s="318">
        <f>'Unit Data from Audit Worksheet'!A59</f>
        <v>506</v>
      </c>
      <c r="B52" s="53" t="str">
        <f>'Unit Data from Audit Worksheet'!C59</f>
        <v>General Fund-Balance Sheet</v>
      </c>
      <c r="C52" s="441"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30">
        <f>'Unit Data from Audit Worksheet'!I59</f>
        <v>0</v>
      </c>
      <c r="I52" s="38"/>
      <c r="J52" s="41">
        <v>506</v>
      </c>
      <c r="K52" s="328" t="s">
        <v>197</v>
      </c>
      <c r="L52" s="442">
        <f t="shared" ref="L52:L65" si="7">IF(D52="",E52,D52)</f>
        <v>0</v>
      </c>
      <c r="P52" s="300"/>
      <c r="W52" s="3" t="b">
        <f t="shared" si="6"/>
        <v>1</v>
      </c>
      <c r="X52" s="428">
        <f t="shared" si="1"/>
        <v>0</v>
      </c>
      <c r="Y52" s="428">
        <f t="shared" si="2"/>
        <v>0</v>
      </c>
    </row>
    <row r="53" spans="1:25" ht="45.75" customHeight="1" x14ac:dyDescent="0.3">
      <c r="A53" s="318">
        <f>'Unit Data from Audit Worksheet'!A60</f>
        <v>536</v>
      </c>
      <c r="B53" s="53" t="str">
        <f>'Unit Data from Audit Worksheet'!C60</f>
        <v>General Fund-Balance Sheet</v>
      </c>
      <c r="C53" s="441" t="str">
        <f>'Unit Data from Audit Worksheet'!D60</f>
        <v>All restricted cash and investments</v>
      </c>
      <c r="D53" s="110"/>
      <c r="E53" s="154">
        <f>'Unit Data from Audit Worksheet'!F60</f>
        <v>0</v>
      </c>
      <c r="F53" s="37">
        <f>IF(L53&lt;0,"Error: Number is normally positive.",)</f>
        <v>0</v>
      </c>
      <c r="G53" s="73"/>
      <c r="H53" s="330">
        <f>'Unit Data from Audit Worksheet'!I60</f>
        <v>0</v>
      </c>
      <c r="I53" s="38"/>
      <c r="J53" s="41">
        <v>536</v>
      </c>
      <c r="K53" s="328" t="s">
        <v>198</v>
      </c>
      <c r="L53" s="442">
        <f t="shared" si="7"/>
        <v>0</v>
      </c>
      <c r="P53" s="300"/>
      <c r="W53" s="3" t="b">
        <f t="shared" si="6"/>
        <v>1</v>
      </c>
      <c r="X53" s="428">
        <f t="shared" si="1"/>
        <v>0</v>
      </c>
      <c r="Y53" s="428">
        <f t="shared" si="2"/>
        <v>0</v>
      </c>
    </row>
    <row r="54" spans="1:25" ht="56.25" customHeight="1" x14ac:dyDescent="0.3">
      <c r="A54" s="318">
        <f>'Unit Data from Audit Worksheet'!A61</f>
        <v>586</v>
      </c>
      <c r="B54" s="332" t="str">
        <f>'Unit Data from Audit Worksheet'!C61</f>
        <v>General Fund-Balance Sheet</v>
      </c>
      <c r="C54" s="317" t="str">
        <f>'Unit Data from Audit Worksheet'!D61</f>
        <v>Advance To: Interfund loan receivable-portion of repayment plan longer than 12 months</v>
      </c>
      <c r="D54" s="144"/>
      <c r="E54" s="338">
        <f>'Unit Data from Audit Worksheet'!F61</f>
        <v>0</v>
      </c>
      <c r="F54" s="331"/>
      <c r="G54" s="333"/>
      <c r="H54" s="330"/>
      <c r="I54" s="38"/>
      <c r="J54" s="329">
        <v>586</v>
      </c>
      <c r="K54" s="317" t="s">
        <v>348</v>
      </c>
      <c r="L54" s="431">
        <f t="shared" si="7"/>
        <v>0</v>
      </c>
      <c r="P54" s="300"/>
      <c r="W54" s="3" t="b">
        <f t="shared" si="6"/>
        <v>1</v>
      </c>
      <c r="X54" s="428">
        <f t="shared" si="1"/>
        <v>0</v>
      </c>
      <c r="Y54" s="428">
        <f t="shared" si="2"/>
        <v>0</v>
      </c>
    </row>
    <row r="55" spans="1:25" ht="28.8" x14ac:dyDescent="0.3">
      <c r="A55" s="318">
        <f>'Unit Data from Audit Worksheet'!A62</f>
        <v>379</v>
      </c>
      <c r="B55" s="332" t="str">
        <f>'Unit Data from Audit Worksheet'!C62</f>
        <v>General Fund-Balance Sheet</v>
      </c>
      <c r="C55" s="317" t="str">
        <f>'Unit Data from Audit Worksheet'!D62</f>
        <v>Total Assets and deferred outflows</v>
      </c>
      <c r="D55" s="144"/>
      <c r="E55" s="338">
        <f>'Unit Data from Audit Worksheet'!F62</f>
        <v>0</v>
      </c>
      <c r="F55" s="84">
        <f>IF((L52+L53)&gt;L55,"Error: Please review accts (506+536)&gt;379",)</f>
        <v>0</v>
      </c>
      <c r="G55" s="333" t="str">
        <f>IF(Q55=1," Included in error count"," ")</f>
        <v xml:space="preserve"> </v>
      </c>
      <c r="H55" s="330">
        <f>'Unit Data from Audit Worksheet'!I62</f>
        <v>0</v>
      </c>
      <c r="I55" s="38"/>
      <c r="J55" s="329">
        <v>379</v>
      </c>
      <c r="K55" s="328" t="s">
        <v>118</v>
      </c>
      <c r="L55" s="431">
        <f t="shared" si="7"/>
        <v>0</v>
      </c>
      <c r="P55" s="300"/>
      <c r="Q55" s="421">
        <f>IF(L52+L53&gt;L55,1,0)</f>
        <v>0</v>
      </c>
      <c r="W55" s="3" t="b">
        <f t="shared" si="6"/>
        <v>1</v>
      </c>
      <c r="X55" s="428">
        <f t="shared" si="1"/>
        <v>0</v>
      </c>
      <c r="Y55" s="428">
        <f t="shared" si="2"/>
        <v>0</v>
      </c>
    </row>
    <row r="56" spans="1:25" ht="106.5" customHeight="1" x14ac:dyDescent="0.3">
      <c r="A56" s="318">
        <f>'Unit Data from Audit Worksheet'!A63</f>
        <v>368</v>
      </c>
      <c r="B56" s="332" t="str">
        <f>'Unit Data from Audit Worksheet'!C63</f>
        <v>General Fund-Balance Sheet</v>
      </c>
      <c r="C56" s="317"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38">
        <f>'Unit Data from Audit Worksheet'!F63</f>
        <v>0</v>
      </c>
      <c r="F56" s="331">
        <f>IF(L56&lt;0,"Error: Enter as a positive.",)</f>
        <v>0</v>
      </c>
      <c r="G56" s="333"/>
      <c r="H56" s="330">
        <f>'Unit Data from Audit Worksheet'!I63</f>
        <v>0</v>
      </c>
      <c r="I56" s="38"/>
      <c r="J56" s="329">
        <v>368</v>
      </c>
      <c r="K56" s="328" t="s">
        <v>199</v>
      </c>
      <c r="L56" s="431">
        <f t="shared" si="7"/>
        <v>0</v>
      </c>
      <c r="P56" s="300"/>
      <c r="W56" s="3" t="b">
        <f t="shared" si="6"/>
        <v>1</v>
      </c>
      <c r="X56" s="428">
        <f t="shared" si="1"/>
        <v>0</v>
      </c>
      <c r="Y56" s="428">
        <f t="shared" si="2"/>
        <v>0</v>
      </c>
    </row>
    <row r="57" spans="1:25" ht="90.75" customHeight="1" x14ac:dyDescent="0.3">
      <c r="A57" s="318">
        <f>'Unit Data from Audit Worksheet'!A64</f>
        <v>4</v>
      </c>
      <c r="B57" s="53" t="str">
        <f>'Unit Data from Audit Worksheet'!C64</f>
        <v>General Fund-Balance Sheet</v>
      </c>
      <c r="C57" s="441"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30">
        <f>'Unit Data from Audit Worksheet'!I64</f>
        <v>0</v>
      </c>
      <c r="I57" s="38"/>
      <c r="J57" s="41">
        <v>4</v>
      </c>
      <c r="K57" s="328" t="s">
        <v>119</v>
      </c>
      <c r="L57" s="442">
        <f t="shared" si="7"/>
        <v>0</v>
      </c>
      <c r="P57" s="300"/>
      <c r="W57" s="3" t="b">
        <f t="shared" si="6"/>
        <v>1</v>
      </c>
      <c r="X57" s="428">
        <f t="shared" si="1"/>
        <v>0</v>
      </c>
      <c r="Y57" s="428">
        <f t="shared" si="2"/>
        <v>0</v>
      </c>
    </row>
    <row r="58" spans="1:25" ht="131.25" customHeight="1" x14ac:dyDescent="0.3">
      <c r="A58" s="318">
        <f>'Unit Data from Audit Worksheet'!A65</f>
        <v>5</v>
      </c>
      <c r="B58" s="53" t="str">
        <f>'Unit Data from Audit Worksheet'!C65</f>
        <v>General Fund-Balance Sheet</v>
      </c>
      <c r="C58" s="441"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30">
        <f>'Unit Data from Audit Worksheet'!I65</f>
        <v>0</v>
      </c>
      <c r="I58" s="38"/>
      <c r="J58" s="41">
        <v>5</v>
      </c>
      <c r="K58" s="328" t="s">
        <v>120</v>
      </c>
      <c r="L58" s="442">
        <f t="shared" si="7"/>
        <v>0</v>
      </c>
      <c r="P58" s="300"/>
      <c r="W58" s="3" t="b">
        <f t="shared" si="6"/>
        <v>1</v>
      </c>
      <c r="X58" s="428">
        <f t="shared" si="1"/>
        <v>0</v>
      </c>
      <c r="Y58" s="428">
        <f t="shared" si="2"/>
        <v>0</v>
      </c>
    </row>
    <row r="59" spans="1:25" ht="104.25" customHeight="1" x14ac:dyDescent="0.3">
      <c r="A59" s="318">
        <f>'Unit Data from Audit Worksheet'!A66</f>
        <v>380</v>
      </c>
      <c r="B59" s="332" t="str">
        <f>'Unit Data from Audit Worksheet'!C66</f>
        <v>General Fund-Balance Sheet</v>
      </c>
      <c r="C59" s="317"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38">
        <f>'Unit Data from Audit Worksheet'!F66</f>
        <v>0</v>
      </c>
      <c r="F59" s="331">
        <f t="shared" si="8"/>
        <v>0</v>
      </c>
      <c r="G59" s="333"/>
      <c r="H59" s="330">
        <f>'Unit Data from Audit Worksheet'!I66</f>
        <v>0</v>
      </c>
      <c r="I59" s="38"/>
      <c r="J59" s="329">
        <v>380</v>
      </c>
      <c r="K59" s="328" t="s">
        <v>121</v>
      </c>
      <c r="L59" s="431">
        <f t="shared" si="7"/>
        <v>0</v>
      </c>
      <c r="P59" s="300"/>
      <c r="W59" s="3" t="b">
        <f t="shared" si="6"/>
        <v>1</v>
      </c>
      <c r="X59" s="428">
        <f t="shared" si="1"/>
        <v>0</v>
      </c>
      <c r="Y59" s="428">
        <f t="shared" si="2"/>
        <v>0</v>
      </c>
    </row>
    <row r="60" spans="1:25" ht="41.25" customHeight="1" x14ac:dyDescent="0.3">
      <c r="A60" s="318">
        <f>'Unit Data from Audit Worksheet'!A67</f>
        <v>391</v>
      </c>
      <c r="B60" s="332" t="str">
        <f>'Unit Data from Audit Worksheet'!C67</f>
        <v>General Fund-Balance Sheet</v>
      </c>
      <c r="C60" s="317" t="str">
        <f>'Unit Data from Audit Worksheet'!D67</f>
        <v xml:space="preserve">Fund balance, Restricted for Stabilization by State Statute </v>
      </c>
      <c r="D60" s="144"/>
      <c r="E60" s="338">
        <f>'Unit Data from Audit Worksheet'!F67</f>
        <v>0</v>
      </c>
      <c r="F60" s="331">
        <f t="shared" si="8"/>
        <v>0</v>
      </c>
      <c r="G60" s="333"/>
      <c r="H60" s="330">
        <f>'Unit Data from Audit Worksheet'!I67</f>
        <v>0</v>
      </c>
      <c r="I60" s="38"/>
      <c r="J60" s="329">
        <v>391</v>
      </c>
      <c r="K60" s="328" t="s">
        <v>200</v>
      </c>
      <c r="L60" s="431">
        <f t="shared" si="7"/>
        <v>0</v>
      </c>
      <c r="P60" s="300"/>
      <c r="W60" s="3" t="b">
        <f t="shared" si="6"/>
        <v>1</v>
      </c>
      <c r="X60" s="428">
        <f t="shared" si="1"/>
        <v>0</v>
      </c>
      <c r="Y60" s="428">
        <f t="shared" si="2"/>
        <v>0</v>
      </c>
    </row>
    <row r="61" spans="1:25" ht="28.8" x14ac:dyDescent="0.3">
      <c r="A61" s="318">
        <f>'Unit Data from Audit Worksheet'!A68</f>
        <v>7</v>
      </c>
      <c r="B61" s="53" t="str">
        <f>'Unit Data from Audit Worksheet'!C68</f>
        <v>General Fund-Balance Sheet</v>
      </c>
      <c r="C61" s="441" t="str">
        <f>'Unit Data from Audit Worksheet'!D68</f>
        <v>Fund balance, Nonspendable-  inventory/prepaids/etc.</v>
      </c>
      <c r="D61" s="144"/>
      <c r="E61" s="154">
        <f>'Unit Data from Audit Worksheet'!F68</f>
        <v>0</v>
      </c>
      <c r="F61" s="37">
        <f t="shared" si="8"/>
        <v>0</v>
      </c>
      <c r="G61" s="73"/>
      <c r="H61" s="330">
        <f>'Unit Data from Audit Worksheet'!I68</f>
        <v>0</v>
      </c>
      <c r="I61" s="38"/>
      <c r="J61" s="41">
        <v>7</v>
      </c>
      <c r="K61" s="328" t="s">
        <v>201</v>
      </c>
      <c r="L61" s="442">
        <f t="shared" si="7"/>
        <v>0</v>
      </c>
      <c r="P61" s="300"/>
      <c r="W61" s="3" t="b">
        <f t="shared" si="6"/>
        <v>1</v>
      </c>
      <c r="X61" s="428">
        <f t="shared" si="1"/>
        <v>0</v>
      </c>
      <c r="Y61" s="428">
        <f t="shared" si="2"/>
        <v>0</v>
      </c>
    </row>
    <row r="62" spans="1:25" ht="89.25" customHeight="1" x14ac:dyDescent="0.3">
      <c r="A62" s="443">
        <f>'Unit Data from Audit Worksheet'!A69</f>
        <v>11</v>
      </c>
      <c r="B62" s="117" t="str">
        <f>'Unit Data from Audit Worksheet'!C69</f>
        <v>General Fund-Balance Sheet</v>
      </c>
      <c r="C62" s="433"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202</v>
      </c>
      <c r="L62" s="431">
        <f t="shared" si="7"/>
        <v>0</v>
      </c>
      <c r="P62" s="301"/>
      <c r="W62" s="3" t="b">
        <f t="shared" si="6"/>
        <v>1</v>
      </c>
      <c r="X62" s="428">
        <f t="shared" si="1"/>
        <v>0</v>
      </c>
      <c r="Y62" s="428">
        <f t="shared" si="2"/>
        <v>0</v>
      </c>
    </row>
    <row r="63" spans="1:25" s="18" customFormat="1" ht="48.75" customHeight="1" x14ac:dyDescent="0.3">
      <c r="A63" s="290">
        <f>'Unit Data from Audit Worksheet'!A70</f>
        <v>645</v>
      </c>
      <c r="B63" s="345" t="str">
        <f>'Unit Data from Audit Worksheet'!C70</f>
        <v>General Fund-Balance Sheet</v>
      </c>
      <c r="C63" s="290" t="str">
        <f>'Unit Data from Audit Worksheet'!D70</f>
        <v>Fund balance, Assigned (total of all assigned components)</v>
      </c>
      <c r="D63" s="116"/>
      <c r="E63" s="344">
        <f>'Unit Data from Audit Worksheet'!F70</f>
        <v>0</v>
      </c>
      <c r="F63" s="326">
        <f>IF(L63&lt;0,"Error: Enter as a positive.",)</f>
        <v>0</v>
      </c>
      <c r="G63" s="311"/>
      <c r="H63" s="326">
        <f>'Unit Data from Audit Worksheet'!I70</f>
        <v>0</v>
      </c>
      <c r="I63" s="444"/>
      <c r="J63" s="325">
        <v>645</v>
      </c>
      <c r="K63" s="290" t="s">
        <v>464</v>
      </c>
      <c r="L63" s="445">
        <f t="shared" si="7"/>
        <v>0</v>
      </c>
      <c r="M63" s="435"/>
      <c r="N63" s="435"/>
      <c r="O63" s="435"/>
      <c r="P63" s="302"/>
      <c r="Q63" s="436"/>
      <c r="R63" s="3"/>
      <c r="S63" s="435"/>
      <c r="T63" s="435"/>
      <c r="U63" s="435"/>
      <c r="V63" s="435"/>
      <c r="W63" s="18" t="b">
        <f t="shared" si="6"/>
        <v>1</v>
      </c>
      <c r="X63" s="437">
        <f t="shared" si="1"/>
        <v>0</v>
      </c>
      <c r="Y63" s="437">
        <f t="shared" si="2"/>
        <v>0</v>
      </c>
    </row>
    <row r="64" spans="1:25" s="18" customFormat="1" ht="45.75" customHeight="1" x14ac:dyDescent="0.3">
      <c r="A64" s="290">
        <f>'Unit Data from Audit Worksheet'!A71</f>
        <v>646</v>
      </c>
      <c r="B64" s="345" t="str">
        <f>'Unit Data from Audit Worksheet'!C71</f>
        <v>General Fund-Balance Sheet</v>
      </c>
      <c r="C64" s="290" t="str">
        <f>'Unit Data from Audit Worksheet'!D71</f>
        <v>Fund Balance, Unassigned</v>
      </c>
      <c r="D64" s="116"/>
      <c r="E64" s="344">
        <f>'Unit Data from Audit Worksheet'!F71</f>
        <v>0</v>
      </c>
      <c r="F64" s="326">
        <f>IF(L64&lt;0,"Error: Enter as a positive.",)</f>
        <v>0</v>
      </c>
      <c r="G64" s="311"/>
      <c r="H64" s="326">
        <f>'Unit Data from Audit Worksheet'!I71</f>
        <v>0</v>
      </c>
      <c r="I64" s="444"/>
      <c r="J64" s="325">
        <v>646</v>
      </c>
      <c r="K64" s="290" t="s">
        <v>465</v>
      </c>
      <c r="L64" s="445">
        <f t="shared" si="7"/>
        <v>0</v>
      </c>
      <c r="M64" s="435"/>
      <c r="N64" s="435"/>
      <c r="O64" s="435"/>
      <c r="P64" s="302"/>
      <c r="Q64" s="436"/>
      <c r="R64" s="3"/>
      <c r="S64" s="435"/>
      <c r="T64" s="435"/>
      <c r="U64" s="435"/>
      <c r="V64" s="435"/>
      <c r="W64" s="18" t="b">
        <f t="shared" si="6"/>
        <v>1</v>
      </c>
      <c r="X64" s="437">
        <f t="shared" si="1"/>
        <v>0</v>
      </c>
      <c r="Y64" s="437">
        <f t="shared" si="2"/>
        <v>0</v>
      </c>
    </row>
    <row r="65" spans="1:27" ht="55.5" customHeight="1" x14ac:dyDescent="0.3">
      <c r="A65" s="429">
        <f>'Unit Data from Audit Worksheet'!A72</f>
        <v>9</v>
      </c>
      <c r="B65" s="118" t="str">
        <f>'Unit Data from Audit Worksheet'!C72</f>
        <v>General Fund-Balance Sheet</v>
      </c>
      <c r="C65" s="446"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30">
        <f>'Unit Data from Audit Worksheet'!I72</f>
        <v>0</v>
      </c>
      <c r="I65" s="38"/>
      <c r="J65" s="121">
        <v>9</v>
      </c>
      <c r="K65" s="51" t="s">
        <v>203</v>
      </c>
      <c r="L65" s="442">
        <f t="shared" si="7"/>
        <v>0</v>
      </c>
      <c r="O65" s="439" t="e">
        <f>'Unit Data from Audit Worksheet'!E72</f>
        <v>#N/A</v>
      </c>
      <c r="P65" s="299"/>
      <c r="Q65" s="421">
        <f>IF(G65&lt;&gt;0,1,0)</f>
        <v>0</v>
      </c>
      <c r="W65" s="3" t="b">
        <f t="shared" si="6"/>
        <v>1</v>
      </c>
      <c r="X65" s="428">
        <f t="shared" si="1"/>
        <v>0</v>
      </c>
      <c r="Y65" s="428">
        <f t="shared" si="2"/>
        <v>0</v>
      </c>
    </row>
    <row r="66" spans="1:27" s="18" customFormat="1" ht="73.5" customHeight="1" x14ac:dyDescent="0.3">
      <c r="A66" s="318">
        <f>'Unit Data from Audit Worksheet'!A73</f>
        <v>540</v>
      </c>
      <c r="B66" s="332" t="str">
        <f>'Unit Data from Audit Worksheet'!C73</f>
        <v>General Fund - Budget Actual Statement</v>
      </c>
      <c r="C66" s="317" t="str">
        <f>'Unit Data from Audit Worksheet'!D73</f>
        <v>Amount of the General Fund Balance appropriated in next year's budget. As reported on the General Fund Balance Sheet.</v>
      </c>
      <c r="D66" s="144"/>
      <c r="E66" s="338">
        <f>'Unit Data from Audit Worksheet'!F73</f>
        <v>0</v>
      </c>
      <c r="F66" s="331">
        <f t="shared" si="8"/>
        <v>0</v>
      </c>
      <c r="G66" s="333"/>
      <c r="H66" s="330">
        <f>'Unit Data from Audit Worksheet'!I73</f>
        <v>0</v>
      </c>
      <c r="I66" s="38"/>
      <c r="J66" s="329">
        <v>540</v>
      </c>
      <c r="K66" s="328" t="s">
        <v>262</v>
      </c>
      <c r="L66" s="431">
        <f t="shared" ref="L66:L123" si="9">IF(D66="",E66,D66)</f>
        <v>0</v>
      </c>
      <c r="P66" s="300"/>
      <c r="Q66" s="421"/>
      <c r="R66" s="3"/>
      <c r="W66" s="3" t="b">
        <f t="shared" si="6"/>
        <v>1</v>
      </c>
      <c r="X66" s="428">
        <f t="shared" si="1"/>
        <v>0</v>
      </c>
      <c r="Y66" s="428">
        <f t="shared" si="2"/>
        <v>0</v>
      </c>
      <c r="AA66" s="3"/>
    </row>
    <row r="67" spans="1:27" s="18" customFormat="1" ht="73.5" customHeight="1" x14ac:dyDescent="0.3">
      <c r="A67" s="447">
        <f>'Unit Data from Audit Worksheet'!A75</f>
        <v>984</v>
      </c>
      <c r="B67" s="336" t="str">
        <f>'Unit Data from Audit Worksheet'!C75</f>
        <v>General Fund - Budget Actual Statement</v>
      </c>
      <c r="C67" s="448" t="str">
        <f>'Unit Data from Audit Worksheet'!D75</f>
        <v>Amount of Ad valorem tax collected (including motor vehicle and prior years) reported on budget actual statement</v>
      </c>
      <c r="D67" s="144"/>
      <c r="E67" s="339">
        <f>'Unit Data from Audit Worksheet'!F75</f>
        <v>0</v>
      </c>
      <c r="F67" s="331"/>
      <c r="G67" s="333"/>
      <c r="H67" s="330"/>
      <c r="I67" s="38"/>
      <c r="J67" s="347">
        <v>984</v>
      </c>
      <c r="K67" s="126" t="s">
        <v>664</v>
      </c>
      <c r="L67" s="449">
        <f t="shared" si="9"/>
        <v>0</v>
      </c>
      <c r="P67" s="300"/>
      <c r="Q67" s="421"/>
      <c r="R67" s="3"/>
      <c r="W67" s="3"/>
      <c r="X67" s="428"/>
      <c r="Y67" s="428"/>
      <c r="AA67" s="3"/>
    </row>
    <row r="68" spans="1:27" s="18" customFormat="1" ht="73.5" customHeight="1" x14ac:dyDescent="0.3">
      <c r="A68" s="447">
        <f>'Unit Data from Audit Worksheet'!A76</f>
        <v>985</v>
      </c>
      <c r="B68" s="336" t="str">
        <f>'Unit Data from Audit Worksheet'!C76</f>
        <v>General Fund - Budget Actual Statement</v>
      </c>
      <c r="C68" s="448" t="str">
        <f>'Unit Data from Audit Worksheet'!D76</f>
        <v>Amount of Ad valorem tax budgeted (including motor vehicle and prior years) reported on budget actual statement</v>
      </c>
      <c r="D68" s="144"/>
      <c r="E68" s="339">
        <f>'Unit Data from Audit Worksheet'!F76</f>
        <v>0</v>
      </c>
      <c r="F68" s="331"/>
      <c r="G68" s="333"/>
      <c r="H68" s="330"/>
      <c r="I68" s="38"/>
      <c r="J68" s="347">
        <v>985</v>
      </c>
      <c r="K68" s="126" t="s">
        <v>665</v>
      </c>
      <c r="L68" s="449">
        <f t="shared" si="9"/>
        <v>0</v>
      </c>
      <c r="P68" s="300"/>
      <c r="Q68" s="421"/>
      <c r="R68" s="3"/>
      <c r="W68" s="3"/>
      <c r="X68" s="428"/>
      <c r="Y68" s="428"/>
      <c r="AA68" s="3"/>
    </row>
    <row r="69" spans="1:27" ht="73.5" customHeight="1" x14ac:dyDescent="0.3">
      <c r="A69" s="318">
        <f>'Unit Data from Audit Worksheet'!A77</f>
        <v>369</v>
      </c>
      <c r="B69" s="332" t="str">
        <f>'Unit Data from Audit Worksheet'!C77</f>
        <v>General Fund-Rev, Exp. Change in Fund Balance</v>
      </c>
      <c r="C69" s="317" t="str">
        <f>'Unit Data from Audit Worksheet'!D77</f>
        <v>Total Intergovernmental revenue 
Include restricted and unrestricted revenues</v>
      </c>
      <c r="D69" s="144"/>
      <c r="E69" s="338">
        <f>'Unit Data from Audit Worksheet'!F77</f>
        <v>0</v>
      </c>
      <c r="F69" s="331"/>
      <c r="G69" s="333"/>
      <c r="H69" s="330">
        <f>'Unit Data from Audit Worksheet'!I77</f>
        <v>0</v>
      </c>
      <c r="I69" s="38"/>
      <c r="J69" s="329">
        <v>369</v>
      </c>
      <c r="K69" s="328" t="s">
        <v>204</v>
      </c>
      <c r="L69" s="431">
        <f t="shared" si="9"/>
        <v>0</v>
      </c>
      <c r="P69" s="300"/>
      <c r="W69" s="3" t="b">
        <f t="shared" ref="W69:W132" si="10">EXACT(A69,J69)</f>
        <v>1</v>
      </c>
      <c r="X69" s="428">
        <f t="shared" si="1"/>
        <v>0</v>
      </c>
      <c r="Y69" s="428">
        <f t="shared" si="2"/>
        <v>0</v>
      </c>
    </row>
    <row r="70" spans="1:27" ht="73.5" customHeight="1" x14ac:dyDescent="0.3">
      <c r="A70" s="318">
        <f>'Unit Data from Audit Worksheet'!A78</f>
        <v>16</v>
      </c>
      <c r="B70" s="332" t="str">
        <f>'Unit Data from Audit Worksheet'!C78</f>
        <v>General Fund-Rev, Exp. Change in Fund Balance</v>
      </c>
      <c r="C70" s="317" t="str">
        <f>'Unit Data from Audit Worksheet'!D78</f>
        <v>Total revenues</v>
      </c>
      <c r="D70" s="144"/>
      <c r="E70" s="338">
        <f>'Unit Data from Audit Worksheet'!F78</f>
        <v>0</v>
      </c>
      <c r="F70" s="331"/>
      <c r="G70" s="333"/>
      <c r="H70" s="330">
        <f>'Unit Data from Audit Worksheet'!I78</f>
        <v>0</v>
      </c>
      <c r="I70" s="38"/>
      <c r="J70" s="329">
        <v>16</v>
      </c>
      <c r="K70" s="328" t="s">
        <v>205</v>
      </c>
      <c r="L70" s="431">
        <f t="shared" si="9"/>
        <v>0</v>
      </c>
      <c r="P70" s="300"/>
      <c r="W70" s="3" t="b">
        <f t="shared" si="10"/>
        <v>1</v>
      </c>
      <c r="X70" s="428">
        <f t="shared" si="1"/>
        <v>0</v>
      </c>
      <c r="Y70" s="428">
        <f t="shared" si="2"/>
        <v>0</v>
      </c>
    </row>
    <row r="71" spans="1:27" ht="73.5" customHeight="1" x14ac:dyDescent="0.3">
      <c r="A71" s="318">
        <f>'Unit Data from Audit Worksheet'!A79</f>
        <v>370</v>
      </c>
      <c r="B71" s="332" t="str">
        <f>'Unit Data from Audit Worksheet'!C79</f>
        <v>General Fund-Rev, Exp. Change in Fund Balance</v>
      </c>
      <c r="C71" s="317" t="str">
        <f>'Unit Data from Audit Worksheet'!D79</f>
        <v>Debt service expenditures. 
Include principal, interest paid, and bond/debt issuance costs on long-term debt</v>
      </c>
      <c r="D71" s="144"/>
      <c r="E71" s="338">
        <f>'Unit Data from Audit Worksheet'!F79</f>
        <v>0</v>
      </c>
      <c r="F71" s="331">
        <f t="shared" ref="F71:F77" si="11">IF(L71&lt;0,"Error: Enter as a positive.",)</f>
        <v>0</v>
      </c>
      <c r="G71" s="333"/>
      <c r="H71" s="330">
        <f>'Unit Data from Audit Worksheet'!I79</f>
        <v>0</v>
      </c>
      <c r="I71" s="38"/>
      <c r="J71" s="329">
        <v>370</v>
      </c>
      <c r="K71" s="328" t="s">
        <v>206</v>
      </c>
      <c r="L71" s="431">
        <f t="shared" si="9"/>
        <v>0</v>
      </c>
      <c r="P71" s="300"/>
      <c r="W71" s="3" t="b">
        <f t="shared" si="10"/>
        <v>1</v>
      </c>
      <c r="X71" s="428">
        <f t="shared" si="1"/>
        <v>0</v>
      </c>
      <c r="Y71" s="428">
        <f t="shared" si="2"/>
        <v>0</v>
      </c>
    </row>
    <row r="72" spans="1:27" ht="73.5" customHeight="1" x14ac:dyDescent="0.3">
      <c r="A72" s="318">
        <f>'Unit Data from Audit Worksheet'!A80</f>
        <v>532</v>
      </c>
      <c r="B72" s="332" t="str">
        <f>'Unit Data from Audit Worksheet'!C80</f>
        <v>General Fund-Rev, Exp. Change in Fund Balance</v>
      </c>
      <c r="C72" s="317" t="str">
        <f>'Unit Data from Audit Worksheet'!D80</f>
        <v xml:space="preserve">Total expenditures  
Exclude expenditures in the "other financing sources (uses)" section.
</v>
      </c>
      <c r="D72" s="144"/>
      <c r="E72" s="338">
        <f>'Unit Data from Audit Worksheet'!F80</f>
        <v>0</v>
      </c>
      <c r="F72" s="331">
        <f t="shared" si="11"/>
        <v>0</v>
      </c>
      <c r="G72" s="333"/>
      <c r="H72" s="330">
        <f>'Unit Data from Audit Worksheet'!I80</f>
        <v>0</v>
      </c>
      <c r="I72" s="38"/>
      <c r="J72" s="329">
        <v>532</v>
      </c>
      <c r="K72" s="450" t="s">
        <v>207</v>
      </c>
      <c r="L72" s="431">
        <f t="shared" si="9"/>
        <v>0</v>
      </c>
      <c r="P72" s="300"/>
      <c r="W72" s="3" t="b">
        <f t="shared" si="10"/>
        <v>1</v>
      </c>
      <c r="X72" s="428">
        <f t="shared" si="1"/>
        <v>0</v>
      </c>
      <c r="Y72" s="428">
        <f t="shared" si="2"/>
        <v>0</v>
      </c>
    </row>
    <row r="73" spans="1:27" ht="73.5" customHeight="1" x14ac:dyDescent="0.3">
      <c r="A73" s="318">
        <f>'Unit Data from Audit Worksheet'!A81</f>
        <v>17</v>
      </c>
      <c r="B73" s="332" t="str">
        <f>'Unit Data from Audit Worksheet'!C81</f>
        <v>General Fund-Rev, Exp. Change in Fund Balance</v>
      </c>
      <c r="C73" s="317" t="str">
        <f>'Unit Data from Audit Worksheet'!D81</f>
        <v>Total Transfers in    (Preference is that transfers-in  are not netted against transfers-out)</v>
      </c>
      <c r="D73" s="144"/>
      <c r="E73" s="338">
        <f>'Unit Data from Audit Worksheet'!F81</f>
        <v>0</v>
      </c>
      <c r="F73" s="331">
        <f t="shared" si="11"/>
        <v>0</v>
      </c>
      <c r="G73" s="333"/>
      <c r="H73" s="330">
        <f>'Unit Data from Audit Worksheet'!I81</f>
        <v>0</v>
      </c>
      <c r="I73" s="38"/>
      <c r="J73" s="329">
        <v>17</v>
      </c>
      <c r="K73" s="328" t="s">
        <v>208</v>
      </c>
      <c r="L73" s="431">
        <f t="shared" si="9"/>
        <v>0</v>
      </c>
      <c r="P73" s="300"/>
      <c r="W73" s="3" t="b">
        <f t="shared" si="10"/>
        <v>1</v>
      </c>
      <c r="X73" s="428">
        <f t="shared" si="1"/>
        <v>0</v>
      </c>
      <c r="Y73" s="428">
        <f t="shared" si="2"/>
        <v>0</v>
      </c>
    </row>
    <row r="74" spans="1:27" ht="54.75" customHeight="1" x14ac:dyDescent="0.3">
      <c r="A74" s="318">
        <f>'Unit Data from Audit Worksheet'!A82</f>
        <v>20</v>
      </c>
      <c r="B74" s="332" t="str">
        <f>'Unit Data from Audit Worksheet'!C82</f>
        <v>General Fund-Rev, Exp. Change in Fund Balance</v>
      </c>
      <c r="C74" s="317" t="str">
        <f>'Unit Data from Audit Worksheet'!D82</f>
        <v>Total Transfers out    (Preference is that transfers-in  are not netted against transfers-out)</v>
      </c>
      <c r="D74" s="144"/>
      <c r="E74" s="338">
        <f>'Unit Data from Audit Worksheet'!F82</f>
        <v>0</v>
      </c>
      <c r="F74" s="331">
        <f t="shared" si="11"/>
        <v>0</v>
      </c>
      <c r="G74" s="333"/>
      <c r="H74" s="330">
        <f>'Unit Data from Audit Worksheet'!I82</f>
        <v>0</v>
      </c>
      <c r="I74" s="38"/>
      <c r="J74" s="329">
        <v>20</v>
      </c>
      <c r="K74" s="328" t="s">
        <v>209</v>
      </c>
      <c r="L74" s="431">
        <f t="shared" si="9"/>
        <v>0</v>
      </c>
      <c r="P74" s="300"/>
      <c r="W74" s="3" t="b">
        <f t="shared" si="10"/>
        <v>1</v>
      </c>
      <c r="X74" s="428">
        <f t="shared" si="1"/>
        <v>0</v>
      </c>
      <c r="Y74" s="428">
        <f t="shared" si="2"/>
        <v>0</v>
      </c>
    </row>
    <row r="75" spans="1:27" ht="54.75" customHeight="1" x14ac:dyDescent="0.3">
      <c r="A75" s="318">
        <f>'Unit Data from Audit Worksheet'!A83</f>
        <v>533</v>
      </c>
      <c r="B75" s="332" t="str">
        <f>'Unit Data from Audit Worksheet'!C83</f>
        <v>General Fund-Rev, Exp. Change in Fund Balance</v>
      </c>
      <c r="C75" s="317" t="str">
        <f>'Unit Data from Audit Worksheet'!D83</f>
        <v>Total Proceeds from all long-term debt issuances 
Exclude proceeds from refundings</v>
      </c>
      <c r="D75" s="144"/>
      <c r="E75" s="338">
        <f>'Unit Data from Audit Worksheet'!F83</f>
        <v>0</v>
      </c>
      <c r="F75" s="331">
        <f t="shared" si="11"/>
        <v>0</v>
      </c>
      <c r="G75" s="333"/>
      <c r="H75" s="330">
        <f>'Unit Data from Audit Worksheet'!I83</f>
        <v>0</v>
      </c>
      <c r="I75" s="38"/>
      <c r="J75" s="329">
        <v>533</v>
      </c>
      <c r="K75" s="450" t="s">
        <v>210</v>
      </c>
      <c r="L75" s="431">
        <f t="shared" si="9"/>
        <v>0</v>
      </c>
      <c r="P75" s="300"/>
      <c r="W75" s="3" t="b">
        <f t="shared" si="10"/>
        <v>1</v>
      </c>
      <c r="X75" s="428">
        <f t="shared" si="1"/>
        <v>0</v>
      </c>
      <c r="Y75" s="428">
        <f t="shared" si="2"/>
        <v>0</v>
      </c>
    </row>
    <row r="76" spans="1:27" ht="54.75" customHeight="1" x14ac:dyDescent="0.3">
      <c r="A76" s="318">
        <f>'Unit Data from Audit Worksheet'!A84</f>
        <v>508</v>
      </c>
      <c r="B76" s="332" t="str">
        <f>'Unit Data from Audit Worksheet'!C84</f>
        <v>General Fund-Rev, Exp. Change in Fund Balance</v>
      </c>
      <c r="C76" s="317" t="str">
        <f>'Unit Data from Audit Worksheet'!D84</f>
        <v>Debt Refunding - Net refunding proceeds against debt payoff and if positive place results on this line.</v>
      </c>
      <c r="D76" s="144"/>
      <c r="E76" s="338">
        <f>'Unit Data from Audit Worksheet'!F84</f>
        <v>0</v>
      </c>
      <c r="F76" s="331">
        <f t="shared" si="11"/>
        <v>0</v>
      </c>
      <c r="G76" s="333"/>
      <c r="H76" s="330">
        <f>'Unit Data from Audit Worksheet'!I84</f>
        <v>0</v>
      </c>
      <c r="I76" s="38"/>
      <c r="J76" s="329">
        <v>508</v>
      </c>
      <c r="K76" s="328" t="s">
        <v>212</v>
      </c>
      <c r="L76" s="431">
        <f t="shared" si="9"/>
        <v>0</v>
      </c>
      <c r="P76" s="300"/>
      <c r="W76" s="3" t="b">
        <f t="shared" si="10"/>
        <v>1</v>
      </c>
      <c r="X76" s="428">
        <f t="shared" si="1"/>
        <v>0</v>
      </c>
      <c r="Y76" s="428">
        <f t="shared" si="2"/>
        <v>0</v>
      </c>
    </row>
    <row r="77" spans="1:27" ht="54.75" customHeight="1" x14ac:dyDescent="0.3">
      <c r="A77" s="318">
        <f>'Unit Data from Audit Worksheet'!A85</f>
        <v>509</v>
      </c>
      <c r="B77" s="332" t="str">
        <f>'Unit Data from Audit Worksheet'!C85</f>
        <v>General Fund-Rev, Exp. Change in Fund Balance</v>
      </c>
      <c r="C77" s="317" t="str">
        <f>'Unit Data from Audit Worksheet'!D85</f>
        <v>Debt Refunding - Net refunding proceeds against debt payoff and if negative place results on this line.</v>
      </c>
      <c r="D77" s="144"/>
      <c r="E77" s="338">
        <f>'Unit Data from Audit Worksheet'!F85</f>
        <v>0</v>
      </c>
      <c r="F77" s="331">
        <f t="shared" si="11"/>
        <v>0</v>
      </c>
      <c r="G77" s="333"/>
      <c r="H77" s="330">
        <f>'Unit Data from Audit Worksheet'!I85</f>
        <v>0</v>
      </c>
      <c r="I77" s="38"/>
      <c r="J77" s="329">
        <v>509</v>
      </c>
      <c r="K77" s="328" t="s">
        <v>213</v>
      </c>
      <c r="L77" s="431">
        <f t="shared" si="9"/>
        <v>0</v>
      </c>
      <c r="P77" s="300"/>
      <c r="W77" s="3" t="b">
        <f t="shared" si="10"/>
        <v>1</v>
      </c>
      <c r="X77" s="428">
        <f t="shared" si="1"/>
        <v>0</v>
      </c>
      <c r="Y77" s="428">
        <f t="shared" si="2"/>
        <v>0</v>
      </c>
    </row>
    <row r="78" spans="1:27" ht="84.75" customHeight="1" x14ac:dyDescent="0.3">
      <c r="A78" s="318">
        <f>'Unit Data from Audit Worksheet'!A86</f>
        <v>22</v>
      </c>
      <c r="B78" s="332" t="str">
        <f>'Unit Data from Audit Worksheet'!C86</f>
        <v>General Fund-Rev, Exp. Change in Fund Balance</v>
      </c>
      <c r="C78" s="317" t="str">
        <f>'Unit Data from Audit Worksheet'!D86</f>
        <v xml:space="preserve">All other items on this statement that were not included in total revenues, total expenditures, transfers in or out, or proceeds from long-term debt above.  </v>
      </c>
      <c r="D78" s="144"/>
      <c r="E78" s="338">
        <f>'Unit Data from Audit Worksheet'!F86</f>
        <v>0</v>
      </c>
      <c r="F78" s="331"/>
      <c r="G78" s="333"/>
      <c r="H78" s="330">
        <f>'Unit Data from Audit Worksheet'!I86</f>
        <v>0</v>
      </c>
      <c r="I78" s="38"/>
      <c r="J78" s="329">
        <v>22</v>
      </c>
      <c r="K78" s="328" t="s">
        <v>211</v>
      </c>
      <c r="L78" s="431">
        <f t="shared" si="9"/>
        <v>0</v>
      </c>
      <c r="P78" s="300"/>
      <c r="W78" s="3" t="b">
        <f t="shared" si="10"/>
        <v>1</v>
      </c>
      <c r="X78" s="428">
        <f t="shared" si="1"/>
        <v>0</v>
      </c>
      <c r="Y78" s="428">
        <f t="shared" si="2"/>
        <v>0</v>
      </c>
    </row>
    <row r="79" spans="1:27" ht="74.25" customHeight="1" x14ac:dyDescent="0.3">
      <c r="A79" s="318">
        <f>'Unit Data from Audit Worksheet'!A87</f>
        <v>23</v>
      </c>
      <c r="B79" s="332" t="str">
        <f>'Unit Data from Audit Worksheet'!C87</f>
        <v>General Fund-Rev, Exp. Change in Fund Balance</v>
      </c>
      <c r="C79" s="317" t="str">
        <f>'Unit Data from Audit Worksheet'!D87</f>
        <v>Change in fund balance - (Increase in Fund balance is recorded as a positive and a decrease in fund balance is recorded as a negative)</v>
      </c>
      <c r="D79" s="144"/>
      <c r="E79" s="338">
        <f>'Unit Data from Audit Worksheet'!F87</f>
        <v>0</v>
      </c>
      <c r="F79" s="331">
        <f>IF(+L70-L72+L73-L74+L75+L76-L77+L78-L79=0,,"Error:Total revenues less toal Expenditures do not equal change in fund balance")</f>
        <v>0</v>
      </c>
      <c r="G79" s="91">
        <f>+L70-L72+L73-L74+L75+L78+L76-L77-L79</f>
        <v>0</v>
      </c>
      <c r="H79" s="330">
        <f>'Unit Data from Audit Worksheet'!I87</f>
        <v>0</v>
      </c>
      <c r="I79" s="38"/>
      <c r="J79" s="329">
        <v>23</v>
      </c>
      <c r="K79" s="328" t="s">
        <v>214</v>
      </c>
      <c r="L79" s="431">
        <f t="shared" si="9"/>
        <v>0</v>
      </c>
      <c r="P79" s="300"/>
      <c r="Q79" s="421">
        <f>IF(G79&lt;&gt;0,1,0)</f>
        <v>0</v>
      </c>
      <c r="W79" s="3" t="b">
        <f t="shared" si="10"/>
        <v>1</v>
      </c>
      <c r="X79" s="428">
        <f t="shared" si="1"/>
        <v>0</v>
      </c>
      <c r="Y79" s="428">
        <f t="shared" si="2"/>
        <v>0</v>
      </c>
    </row>
    <row r="80" spans="1:27" ht="123" customHeight="1" x14ac:dyDescent="0.3">
      <c r="A80" s="443">
        <f>'Unit Data from Audit Worksheet'!A89</f>
        <v>507</v>
      </c>
      <c r="B80" s="117" t="str">
        <f>'Unit Data from Audit Worksheet'!C89</f>
        <v>General Fund-Rev, Exp. Change in Fund Balance</v>
      </c>
      <c r="C80" s="310"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215</v>
      </c>
      <c r="L80" s="431">
        <f t="shared" si="9"/>
        <v>0</v>
      </c>
      <c r="N80" s="440"/>
      <c r="O80" s="439"/>
      <c r="P80" s="301"/>
      <c r="Q80" s="421" t="e">
        <f>IF(G80&lt;&gt;0,1,0)</f>
        <v>#N/A</v>
      </c>
      <c r="W80" s="3" t="b">
        <f t="shared" si="10"/>
        <v>1</v>
      </c>
      <c r="X80" s="428">
        <f t="shared" si="1"/>
        <v>0</v>
      </c>
      <c r="Y80" s="428">
        <f t="shared" si="2"/>
        <v>0</v>
      </c>
    </row>
    <row r="81" spans="1:26" ht="123" customHeight="1" x14ac:dyDescent="0.3">
      <c r="A81" s="443">
        <f>'Unit Data from Audit Worksheet'!A90</f>
        <v>147</v>
      </c>
      <c r="B81" s="117" t="str">
        <f>'Unit Data from Audit Worksheet'!C90</f>
        <v>General Fund-Rev, Exp. Change in Fund Balance or General Fund Budget Actual</v>
      </c>
      <c r="C81" s="310"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41"/>
      <c r="E81" s="155">
        <f>'Unit Data from Audit Worksheet'!F90</f>
        <v>0</v>
      </c>
      <c r="F81" s="334"/>
      <c r="G81" s="342"/>
      <c r="H81" s="334"/>
      <c r="I81" s="38"/>
      <c r="J81" s="343">
        <v>147</v>
      </c>
      <c r="K81" s="335" t="s">
        <v>300</v>
      </c>
      <c r="L81" s="431">
        <f t="shared" si="9"/>
        <v>0</v>
      </c>
      <c r="N81" s="440"/>
      <c r="O81" s="439"/>
      <c r="P81" s="309"/>
      <c r="W81" s="3" t="b">
        <f t="shared" si="10"/>
        <v>1</v>
      </c>
      <c r="X81" s="428"/>
      <c r="Y81" s="428"/>
    </row>
    <row r="82" spans="1:26" ht="123" customHeight="1" x14ac:dyDescent="0.3">
      <c r="A82" s="443">
        <f>'Unit Data from Audit Worksheet'!A91</f>
        <v>585</v>
      </c>
      <c r="B82" s="117" t="str">
        <f>'Unit Data from Audit Worksheet'!C91</f>
        <v>General Fund-Rev, Exp. Change in Fund Balance or General Fund Budget Actual</v>
      </c>
      <c r="C82" s="433" t="str">
        <f>'Unit Data from Audit Worksheet'!D91</f>
        <v xml:space="preserve">How much of the above number in account 147 is from Timber Receipts sent to the schools </v>
      </c>
      <c r="D82" s="341"/>
      <c r="E82" s="155">
        <f>'Unit Data from Audit Worksheet'!F91</f>
        <v>0</v>
      </c>
      <c r="F82" s="334"/>
      <c r="G82" s="342"/>
      <c r="H82" s="334"/>
      <c r="I82" s="38"/>
      <c r="J82" s="343">
        <v>585</v>
      </c>
      <c r="K82" s="346" t="s">
        <v>391</v>
      </c>
      <c r="L82" s="431">
        <f t="shared" si="9"/>
        <v>0</v>
      </c>
      <c r="N82" s="440"/>
      <c r="O82" s="439"/>
      <c r="P82" s="309"/>
      <c r="W82" s="3" t="b">
        <f t="shared" si="10"/>
        <v>1</v>
      </c>
      <c r="X82" s="428"/>
      <c r="Y82" s="428"/>
    </row>
    <row r="83" spans="1:26" ht="123" customHeight="1" x14ac:dyDescent="0.3">
      <c r="A83" s="443">
        <f>'Unit Data from Audit Worksheet'!A92</f>
        <v>546</v>
      </c>
      <c r="B83" s="117" t="str">
        <f>'Unit Data from Audit Worksheet'!C92</f>
        <v>General Fund-Rev, Exp. Change in Fund Balance or General Fund Budget Actual</v>
      </c>
      <c r="C83" s="433" t="str">
        <f>'Unit Data from Audit Worksheet'!D92</f>
        <v>Amount of Supplemental School Tax revenue recorded in the governmental funds.</v>
      </c>
      <c r="D83" s="341"/>
      <c r="E83" s="155">
        <f>'Unit Data from Audit Worksheet'!F92</f>
        <v>0</v>
      </c>
      <c r="F83" s="334"/>
      <c r="G83" s="342"/>
      <c r="H83" s="334"/>
      <c r="I83" s="38"/>
      <c r="J83" s="343">
        <v>546</v>
      </c>
      <c r="K83" s="346" t="s">
        <v>524</v>
      </c>
      <c r="L83" s="431">
        <f t="shared" si="9"/>
        <v>0</v>
      </c>
      <c r="N83" s="440"/>
      <c r="O83" s="439"/>
      <c r="P83" s="309"/>
      <c r="W83" s="3" t="b">
        <f t="shared" si="10"/>
        <v>1</v>
      </c>
      <c r="X83" s="428"/>
      <c r="Y83" s="428"/>
    </row>
    <row r="84" spans="1:26" ht="123" customHeight="1" x14ac:dyDescent="0.3">
      <c r="A84" s="443">
        <f>'Unit Data from Audit Worksheet'!A93</f>
        <v>589</v>
      </c>
      <c r="B84" s="117" t="str">
        <f>'Unit Data from Audit Worksheet'!C93</f>
        <v>General Fund-Rev, Exp. Change in Fund Balance or General Fund Budget Actual</v>
      </c>
      <c r="C84" s="433" t="str">
        <f>'Unit Data from Audit Worksheet'!D93</f>
        <v>Amount of Supplemental School Tax revenue recorded in agency funds.</v>
      </c>
      <c r="D84" s="341"/>
      <c r="E84" s="155">
        <f>'Unit Data from Audit Worksheet'!F93</f>
        <v>0</v>
      </c>
      <c r="F84" s="334"/>
      <c r="G84" s="342"/>
      <c r="H84" s="334"/>
      <c r="I84" s="38"/>
      <c r="J84" s="343">
        <v>589</v>
      </c>
      <c r="K84" s="124" t="s">
        <v>708</v>
      </c>
      <c r="L84" s="431">
        <f t="shared" si="9"/>
        <v>0</v>
      </c>
      <c r="N84" s="440"/>
      <c r="O84" s="439"/>
      <c r="P84" s="309"/>
      <c r="W84" s="3" t="b">
        <f t="shared" si="10"/>
        <v>1</v>
      </c>
      <c r="X84" s="428"/>
      <c r="Y84" s="428"/>
    </row>
    <row r="85" spans="1:26" ht="123" customHeight="1" x14ac:dyDescent="0.3">
      <c r="A85" s="443">
        <f>'Unit Data from Audit Worksheet'!A94</f>
        <v>149</v>
      </c>
      <c r="B85" s="117" t="str">
        <f>'Unit Data from Audit Worksheet'!C94</f>
        <v>General Fund-Rev, Exp. Change in Fund Balance or General Fund Budget Actual</v>
      </c>
      <c r="C85" s="433"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41"/>
      <c r="E85" s="155">
        <f>'Unit Data from Audit Worksheet'!F94</f>
        <v>0</v>
      </c>
      <c r="F85" s="334"/>
      <c r="G85" s="342"/>
      <c r="H85" s="334"/>
      <c r="I85" s="38"/>
      <c r="J85" s="343">
        <v>149</v>
      </c>
      <c r="K85" s="254" t="s">
        <v>302</v>
      </c>
      <c r="L85" s="431">
        <f t="shared" si="9"/>
        <v>0</v>
      </c>
      <c r="N85" s="440"/>
      <c r="O85" s="439"/>
      <c r="P85" s="309"/>
      <c r="W85" s="3" t="b">
        <f t="shared" si="10"/>
        <v>1</v>
      </c>
      <c r="X85" s="428"/>
      <c r="Y85" s="428"/>
      <c r="Z85" s="3" t="s">
        <v>776</v>
      </c>
    </row>
    <row r="86" spans="1:26" ht="123" customHeight="1" x14ac:dyDescent="0.3">
      <c r="A86" s="443">
        <f>'Unit Data from Audit Worksheet'!A95</f>
        <v>150</v>
      </c>
      <c r="B86" s="117" t="str">
        <f>'Unit Data from Audit Worksheet'!C95</f>
        <v>General Fund-Rev, Exp. Change in Fund Balance or General Fund Budget Actual</v>
      </c>
      <c r="C86" s="433"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41"/>
      <c r="E86" s="155">
        <f>'Unit Data from Audit Worksheet'!F95</f>
        <v>0</v>
      </c>
      <c r="F86" s="334"/>
      <c r="G86" s="342"/>
      <c r="H86" s="334"/>
      <c r="I86" s="38"/>
      <c r="J86" s="343">
        <v>150</v>
      </c>
      <c r="K86" s="254" t="s">
        <v>524</v>
      </c>
      <c r="L86" s="431">
        <f t="shared" si="9"/>
        <v>0</v>
      </c>
      <c r="N86" s="440"/>
      <c r="O86" s="439"/>
      <c r="P86" s="309"/>
      <c r="W86" s="3" t="b">
        <f t="shared" si="10"/>
        <v>1</v>
      </c>
      <c r="X86" s="428"/>
      <c r="Y86" s="428"/>
      <c r="Z86" s="3" t="s">
        <v>776</v>
      </c>
    </row>
    <row r="87" spans="1:26" ht="123" customHeight="1" x14ac:dyDescent="0.3">
      <c r="A87" s="443">
        <f>'Unit Data from Audit Worksheet'!A96</f>
        <v>587</v>
      </c>
      <c r="B87" s="117" t="str">
        <f>'Unit Data from Audit Worksheet'!C96</f>
        <v xml:space="preserve">Fund 8 Rev, Exp. Change in Fund Balance Rpt. </v>
      </c>
      <c r="C87" s="433" t="str">
        <f>'Unit Data from Audit Worksheet'!D96</f>
        <v>Amount of Local Current Expense Funds received from the County transferred to Fund 8 this year.</v>
      </c>
      <c r="D87" s="341"/>
      <c r="E87" s="155">
        <f>'Unit Data from Audit Worksheet'!F96</f>
        <v>0</v>
      </c>
      <c r="F87" s="334"/>
      <c r="G87" s="342"/>
      <c r="H87" s="334"/>
      <c r="I87" s="38"/>
      <c r="J87" s="343">
        <v>587</v>
      </c>
      <c r="K87" s="254" t="s">
        <v>393</v>
      </c>
      <c r="L87" s="431">
        <f t="shared" si="9"/>
        <v>0</v>
      </c>
      <c r="N87" s="440"/>
      <c r="O87" s="439"/>
      <c r="P87" s="309"/>
      <c r="W87" s="3" t="b">
        <f t="shared" si="10"/>
        <v>1</v>
      </c>
      <c r="X87" s="428"/>
      <c r="Y87" s="428"/>
      <c r="Z87" s="3" t="s">
        <v>776</v>
      </c>
    </row>
    <row r="88" spans="1:26" ht="123" customHeight="1" x14ac:dyDescent="0.3">
      <c r="A88" s="443">
        <f>'Unit Data from Audit Worksheet'!A97</f>
        <v>588</v>
      </c>
      <c r="B88" s="117" t="str">
        <f>'Unit Data from Audit Worksheet'!C97</f>
        <v xml:space="preserve">Fund 8 Rev, Exp. Change in Fund Balance Rpt. </v>
      </c>
      <c r="C88" s="433" t="str">
        <f>'Unit Data from Audit Worksheet'!D97</f>
        <v>Amount of Capital Outlay Funds received from the County transferred to Fund 8 this year.</v>
      </c>
      <c r="D88" s="341"/>
      <c r="E88" s="155">
        <f>'Unit Data from Audit Worksheet'!F97</f>
        <v>0</v>
      </c>
      <c r="F88" s="334"/>
      <c r="G88" s="342"/>
      <c r="H88" s="334"/>
      <c r="I88" s="38"/>
      <c r="J88" s="343">
        <v>588</v>
      </c>
      <c r="K88" s="254" t="s">
        <v>394</v>
      </c>
      <c r="L88" s="431">
        <f t="shared" si="9"/>
        <v>0</v>
      </c>
      <c r="N88" s="440"/>
      <c r="O88" s="439"/>
      <c r="P88" s="309"/>
      <c r="W88" s="3" t="b">
        <f t="shared" si="10"/>
        <v>1</v>
      </c>
      <c r="X88" s="428"/>
      <c r="Y88" s="428"/>
      <c r="Z88" s="3" t="s">
        <v>776</v>
      </c>
    </row>
    <row r="89" spans="1:26" s="18" customFormat="1" ht="40.5" customHeight="1" x14ac:dyDescent="0.3">
      <c r="A89" s="290">
        <f>'Unit Data from Audit Worksheet'!A98</f>
        <v>647</v>
      </c>
      <c r="B89" s="345" t="str">
        <f>'Unit Data from Audit Worksheet'!C98</f>
        <v>Debt Service Fund</v>
      </c>
      <c r="C89" s="290" t="str">
        <f>'Unit Data from Audit Worksheet'!D98</f>
        <v>Please enter the Total Fund Balance for any Debt Service Funds</v>
      </c>
      <c r="D89" s="116"/>
      <c r="E89" s="344">
        <f>'Unit Data from Audit Worksheet'!F98</f>
        <v>0</v>
      </c>
      <c r="F89" s="326"/>
      <c r="G89" s="321"/>
      <c r="H89" s="326">
        <f>'Unit Data from Audit Worksheet'!I98</f>
        <v>0</v>
      </c>
      <c r="I89" s="444"/>
      <c r="J89" s="325">
        <v>647</v>
      </c>
      <c r="K89" s="293" t="s">
        <v>984</v>
      </c>
      <c r="L89" s="445">
        <f>IF(D89="",E89,D89)</f>
        <v>0</v>
      </c>
      <c r="M89" s="435"/>
      <c r="N89" s="435"/>
      <c r="O89" s="451"/>
      <c r="P89" s="302"/>
      <c r="Q89" s="436"/>
      <c r="R89" s="3"/>
      <c r="S89" s="435"/>
      <c r="T89" s="435"/>
      <c r="U89" s="435"/>
      <c r="V89" s="435"/>
      <c r="W89" s="18" t="b">
        <f t="shared" si="10"/>
        <v>1</v>
      </c>
      <c r="X89" s="437">
        <f t="shared" si="1"/>
        <v>0</v>
      </c>
      <c r="Y89" s="437">
        <f t="shared" si="2"/>
        <v>0</v>
      </c>
    </row>
    <row r="90" spans="1:26" s="18" customFormat="1" ht="66" customHeight="1" x14ac:dyDescent="0.3">
      <c r="A90" s="290">
        <f>'Unit Data from Audit Worksheet'!A100</f>
        <v>148</v>
      </c>
      <c r="B90" s="345" t="str">
        <f>'Unit Data from Audit Worksheet'!C100</f>
        <v>All Gov. Funds Rev, Exp. Change in Fund Balance</v>
      </c>
      <c r="C90" s="324" t="str">
        <f>'Unit Data from Audit Worksheet'!D100</f>
        <v>Capital Outlay contributions to the BOEs (include amounts from general fund, capital project funds and any other fund sent to the BOE as part of capital outlay)</v>
      </c>
      <c r="D90" s="341"/>
      <c r="E90" s="344">
        <f>'Unit Data from Audit Worksheet'!F100</f>
        <v>0</v>
      </c>
      <c r="F90" s="334"/>
      <c r="G90" s="342"/>
      <c r="H90" s="334"/>
      <c r="I90" s="38"/>
      <c r="J90" s="343">
        <v>148</v>
      </c>
      <c r="K90" s="335" t="s">
        <v>301</v>
      </c>
      <c r="L90" s="431">
        <f t="shared" si="9"/>
        <v>0</v>
      </c>
      <c r="M90" s="452"/>
      <c r="N90" s="452"/>
      <c r="O90" s="453"/>
      <c r="P90" s="309"/>
      <c r="Q90" s="454"/>
      <c r="R90" s="3"/>
      <c r="S90" s="452"/>
      <c r="T90" s="452"/>
      <c r="U90" s="452"/>
      <c r="V90" s="452"/>
      <c r="W90" s="452" t="b">
        <f t="shared" si="10"/>
        <v>1</v>
      </c>
      <c r="X90" s="437"/>
      <c r="Y90" s="437"/>
    </row>
    <row r="91" spans="1:26" ht="60" customHeight="1" x14ac:dyDescent="0.3">
      <c r="A91" s="429">
        <f>'Unit Data from Audit Worksheet'!A101</f>
        <v>171</v>
      </c>
      <c r="B91" s="54" t="str">
        <f>'Unit Data from Audit Worksheet'!C101</f>
        <v>Fund Statements - all Governmental Funds</v>
      </c>
      <c r="C91" s="430" t="str">
        <f>'Unit Data from Audit Worksheet'!D101</f>
        <v>Debt service expenditures from all governmental funds.  Include principal, interest paid, and debt issuance costs on long-term debt.</v>
      </c>
      <c r="D91" s="337"/>
      <c r="E91" s="152">
        <f>'Unit Data from Audit Worksheet'!F101</f>
        <v>0</v>
      </c>
      <c r="F91" s="47">
        <f>IF(L91&lt;0,"Error: Enter as a positive.",)</f>
        <v>0</v>
      </c>
      <c r="G91" s="72"/>
      <c r="H91" s="330">
        <f>'Unit Data from Audit Worksheet'!I101</f>
        <v>0</v>
      </c>
      <c r="I91" s="38"/>
      <c r="J91" s="42">
        <v>171</v>
      </c>
      <c r="K91" s="51" t="s">
        <v>216</v>
      </c>
      <c r="L91" s="431">
        <f t="shared" si="9"/>
        <v>0</v>
      </c>
      <c r="P91" s="299"/>
      <c r="W91" s="3" t="b">
        <f t="shared" si="10"/>
        <v>1</v>
      </c>
      <c r="X91" s="428">
        <f t="shared" si="1"/>
        <v>0</v>
      </c>
      <c r="Y91" s="428">
        <f t="shared" si="2"/>
        <v>0</v>
      </c>
    </row>
    <row r="92" spans="1:26" s="550" customFormat="1" ht="60" customHeight="1" x14ac:dyDescent="0.3">
      <c r="A92" s="429">
        <f>'Unit Data from Audit Worksheet'!A103</f>
        <v>36</v>
      </c>
      <c r="B92" s="54" t="str">
        <f>'Unit Data from Audit Worksheet'!C103</f>
        <v>Net Position</v>
      </c>
      <c r="C92" s="430" t="str">
        <f>'Unit Data from Audit Worksheet'!D103</f>
        <v>Total Gross Capital Assets - without accumulated depreciation</v>
      </c>
      <c r="D92" s="337"/>
      <c r="E92" s="152">
        <f>'Unit Data from Audit Worksheet'!F103</f>
        <v>0</v>
      </c>
      <c r="F92" s="47"/>
      <c r="G92" s="72"/>
      <c r="H92" s="330"/>
      <c r="I92" s="552"/>
      <c r="J92" s="42">
        <v>36</v>
      </c>
      <c r="K92" s="51" t="s">
        <v>829</v>
      </c>
      <c r="L92" s="431">
        <f t="shared" si="9"/>
        <v>0</v>
      </c>
      <c r="P92" s="299"/>
      <c r="Q92" s="421"/>
      <c r="W92" s="452" t="b">
        <f t="shared" si="10"/>
        <v>1</v>
      </c>
      <c r="X92" s="428"/>
      <c r="Y92" s="428"/>
    </row>
    <row r="93" spans="1:26" s="550" customFormat="1" ht="60" customHeight="1" x14ac:dyDescent="0.3">
      <c r="A93" s="429">
        <f>'Unit Data from Audit Worksheet'!A104</f>
        <v>534</v>
      </c>
      <c r="B93" s="54" t="str">
        <f>'Unit Data from Audit Worksheet'!C104</f>
        <v>Net Position</v>
      </c>
      <c r="C93" s="430" t="str">
        <f>'Unit Data from Audit Worksheet'!D104</f>
        <v>Combined Totals of all Proprietary Funds - Amount of Inventories and Prepaids in current assets</v>
      </c>
      <c r="D93" s="337"/>
      <c r="E93" s="152">
        <f>'Unit Data from Audit Worksheet'!F104</f>
        <v>0</v>
      </c>
      <c r="F93" s="47"/>
      <c r="G93" s="72"/>
      <c r="H93" s="330"/>
      <c r="I93" s="552"/>
      <c r="J93" s="42">
        <v>534</v>
      </c>
      <c r="K93" s="51" t="s">
        <v>270</v>
      </c>
      <c r="L93" s="431">
        <f t="shared" si="9"/>
        <v>0</v>
      </c>
      <c r="P93" s="299"/>
      <c r="Q93" s="421"/>
      <c r="W93" s="452" t="b">
        <f t="shared" si="10"/>
        <v>1</v>
      </c>
      <c r="X93" s="428"/>
      <c r="Y93" s="428"/>
    </row>
    <row r="94" spans="1:26" ht="60" customHeight="1" x14ac:dyDescent="0.3">
      <c r="A94" s="429">
        <f>'Unit Data from Audit Worksheet'!A105</f>
        <v>13</v>
      </c>
      <c r="B94" s="54" t="str">
        <f>'Unit Data from Audit Worksheet'!C105</f>
        <v>Combined Proprietary Funds - Net Position</v>
      </c>
      <c r="C94" s="430" t="str">
        <f>'Unit Data from Audit Worksheet'!D105</f>
        <v>Comb-Proprietary Funds-Current Assets 
Exclude: any restricted assets
                  deferred outflows</v>
      </c>
      <c r="D94" s="337"/>
      <c r="E94" s="152">
        <f>'Unit Data from Audit Worksheet'!F105</f>
        <v>0</v>
      </c>
      <c r="F94" s="47"/>
      <c r="G94" s="72"/>
      <c r="H94" s="330"/>
      <c r="I94" s="38"/>
      <c r="J94" s="42">
        <v>13</v>
      </c>
      <c r="K94" s="51" t="s">
        <v>766</v>
      </c>
      <c r="L94" s="431">
        <f t="shared" si="9"/>
        <v>0</v>
      </c>
      <c r="P94" s="299"/>
      <c r="X94" s="428"/>
      <c r="Y94" s="428"/>
    </row>
    <row r="95" spans="1:26" ht="60" customHeight="1" x14ac:dyDescent="0.3">
      <c r="A95" s="429">
        <f>'Unit Data from Audit Worksheet'!A106</f>
        <v>14</v>
      </c>
      <c r="B95" s="54" t="str">
        <f>'Unit Data from Audit Worksheet'!C106</f>
        <v>Combined Proprietary Funds - Net Position</v>
      </c>
      <c r="C95" s="430"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37"/>
      <c r="E95" s="152">
        <f>'Unit Data from Audit Worksheet'!F106</f>
        <v>0</v>
      </c>
      <c r="F95" s="47"/>
      <c r="G95" s="72"/>
      <c r="H95" s="330"/>
      <c r="I95" s="38"/>
      <c r="J95" s="42">
        <v>14</v>
      </c>
      <c r="K95" s="51" t="s">
        <v>767</v>
      </c>
      <c r="L95" s="431">
        <f t="shared" si="9"/>
        <v>0</v>
      </c>
      <c r="P95" s="299"/>
      <c r="X95" s="428"/>
      <c r="Y95" s="428"/>
    </row>
    <row r="96" spans="1:26" s="550" customFormat="1" ht="60" customHeight="1" x14ac:dyDescent="0.3">
      <c r="A96" s="429">
        <f>'Unit Data from Audit Worksheet'!A107</f>
        <v>571</v>
      </c>
      <c r="B96" s="54" t="str">
        <f>'Unit Data from Audit Worksheet'!C107</f>
        <v>Statement of Net Position - combined totals from all Proprietary Funds</v>
      </c>
      <c r="C96" s="430" t="str">
        <f>'Unit Data from Audit Worksheet'!D107</f>
        <v>Mental Health Net Position - Net Investment in Capital Assets</v>
      </c>
      <c r="D96" s="337"/>
      <c r="E96" s="152">
        <f>'Unit Data from Audit Worksheet'!F107</f>
        <v>0</v>
      </c>
      <c r="F96" s="47"/>
      <c r="G96" s="72"/>
      <c r="H96" s="330"/>
      <c r="I96" s="552"/>
      <c r="J96" s="42">
        <v>571</v>
      </c>
      <c r="K96" s="51" t="s">
        <v>800</v>
      </c>
      <c r="L96" s="431">
        <f t="shared" si="9"/>
        <v>0</v>
      </c>
      <c r="P96" s="299"/>
      <c r="Q96" s="421"/>
      <c r="X96" s="428"/>
      <c r="Y96" s="428"/>
    </row>
    <row r="97" spans="1:26" s="550" customFormat="1" ht="60" customHeight="1" x14ac:dyDescent="0.3">
      <c r="A97" s="429">
        <f>'Unit Data from Audit Worksheet'!A108</f>
        <v>572</v>
      </c>
      <c r="B97" s="54" t="str">
        <f>'Unit Data from Audit Worksheet'!C108</f>
        <v>Statement of Net Position - combined totals from all Proprietary Funds</v>
      </c>
      <c r="C97" s="430" t="str">
        <f>'Unit Data from Audit Worksheet'!D108</f>
        <v>Mental Health Net Position - Restricted Net Position</v>
      </c>
      <c r="D97" s="337"/>
      <c r="E97" s="152">
        <f>'Unit Data from Audit Worksheet'!F108</f>
        <v>0</v>
      </c>
      <c r="F97" s="47"/>
      <c r="G97" s="72"/>
      <c r="H97" s="330"/>
      <c r="I97" s="552"/>
      <c r="J97" s="42">
        <v>572</v>
      </c>
      <c r="K97" s="51" t="s">
        <v>801</v>
      </c>
      <c r="L97" s="431">
        <f t="shared" si="9"/>
        <v>0</v>
      </c>
      <c r="P97" s="299"/>
      <c r="Q97" s="421"/>
      <c r="X97" s="428"/>
      <c r="Y97" s="428"/>
    </row>
    <row r="98" spans="1:26" s="550" customFormat="1" ht="60" customHeight="1" x14ac:dyDescent="0.3">
      <c r="A98" s="429">
        <f>'Unit Data from Audit Worksheet'!A109</f>
        <v>573</v>
      </c>
      <c r="B98" s="54" t="str">
        <f>'Unit Data from Audit Worksheet'!C109</f>
        <v>Statement of Net Position - combined totals from all Proprietary Funds</v>
      </c>
      <c r="C98" s="430" t="str">
        <f>'Unit Data from Audit Worksheet'!D109</f>
        <v>Mental Health Net Position - Unrestricted Net Position</v>
      </c>
      <c r="D98" s="337"/>
      <c r="E98" s="152">
        <f>'Unit Data from Audit Worksheet'!F109</f>
        <v>0</v>
      </c>
      <c r="F98" s="47"/>
      <c r="G98" s="72"/>
      <c r="H98" s="330"/>
      <c r="I98" s="552"/>
      <c r="J98" s="42">
        <v>573</v>
      </c>
      <c r="K98" s="51" t="s">
        <v>958</v>
      </c>
      <c r="L98" s="431">
        <f t="shared" si="9"/>
        <v>0</v>
      </c>
      <c r="P98" s="299"/>
      <c r="Q98" s="421"/>
      <c r="X98" s="428"/>
      <c r="Y98" s="428"/>
    </row>
    <row r="99" spans="1:26" ht="60" customHeight="1" x14ac:dyDescent="0.3">
      <c r="A99" s="429">
        <f>'Unit Data from Audit Worksheet'!A110</f>
        <v>34</v>
      </c>
      <c r="B99" s="54" t="str">
        <f>'Unit Data from Audit Worksheet'!C110</f>
        <v>Net Position</v>
      </c>
      <c r="C99" s="430" t="str">
        <f>'Unit Data from Audit Worksheet'!D110</f>
        <v>Hospital-EF- Unrestricted Cash &amp; Invest. [Incl.all but Held by Trustee or 3rd party restricted](BS)</v>
      </c>
      <c r="D99" s="337"/>
      <c r="E99" s="152">
        <f>'Unit Data from Audit Worksheet'!F110</f>
        <v>0</v>
      </c>
      <c r="F99" s="47"/>
      <c r="G99" s="72"/>
      <c r="H99" s="330"/>
      <c r="I99" s="38"/>
      <c r="J99" s="42">
        <v>34</v>
      </c>
      <c r="K99" s="51" t="s">
        <v>779</v>
      </c>
      <c r="L99" s="431">
        <f t="shared" si="9"/>
        <v>0</v>
      </c>
      <c r="P99" s="299"/>
      <c r="X99" s="428"/>
      <c r="Y99" s="428"/>
      <c r="Z99" s="3" t="s">
        <v>777</v>
      </c>
    </row>
    <row r="100" spans="1:26" ht="60" customHeight="1" x14ac:dyDescent="0.3">
      <c r="A100" s="429">
        <f>'Unit Data from Audit Worksheet'!A111</f>
        <v>35</v>
      </c>
      <c r="B100" s="54" t="str">
        <f>'Unit Data from Audit Worksheet'!C111</f>
        <v>Net Position</v>
      </c>
      <c r="C100" s="430" t="str">
        <f>'Unit Data from Audit Worksheet'!D111</f>
        <v>Mental Health or Hospital-EF- Patient Accounts Receivable, Net of Allowance for Bad Debt</v>
      </c>
      <c r="D100" s="337"/>
      <c r="E100" s="152">
        <f>'Unit Data from Audit Worksheet'!F111</f>
        <v>0</v>
      </c>
      <c r="F100" s="47"/>
      <c r="G100" s="72"/>
      <c r="H100" s="330"/>
      <c r="I100" s="38"/>
      <c r="J100" s="42">
        <v>35</v>
      </c>
      <c r="K100" s="51" t="s">
        <v>780</v>
      </c>
      <c r="L100" s="431">
        <f t="shared" si="9"/>
        <v>0</v>
      </c>
      <c r="P100" s="299"/>
      <c r="X100" s="428"/>
      <c r="Y100" s="428"/>
      <c r="Z100" s="3" t="s">
        <v>777</v>
      </c>
    </row>
    <row r="101" spans="1:26" ht="60" customHeight="1" x14ac:dyDescent="0.3">
      <c r="A101" s="429">
        <f>'Unit Data from Audit Worksheet'!A112</f>
        <v>37</v>
      </c>
      <c r="B101" s="54" t="str">
        <f>'Unit Data from Audit Worksheet'!C112</f>
        <v>Net Position</v>
      </c>
      <c r="C101" s="430" t="str">
        <f>'Unit Data from Audit Worksheet'!D112</f>
        <v>Total Long-term debt (non current portion only) - enter as a positive</v>
      </c>
      <c r="D101" s="337"/>
      <c r="E101" s="152">
        <f>'Unit Data from Audit Worksheet'!F112</f>
        <v>0</v>
      </c>
      <c r="F101" s="47"/>
      <c r="G101" s="72"/>
      <c r="H101" s="330"/>
      <c r="I101" s="38"/>
      <c r="J101" s="42">
        <v>37</v>
      </c>
      <c r="K101" s="51" t="s">
        <v>790</v>
      </c>
      <c r="L101" s="431">
        <f t="shared" si="9"/>
        <v>0</v>
      </c>
      <c r="P101" s="299"/>
      <c r="X101" s="428"/>
      <c r="Y101" s="428"/>
      <c r="Z101" s="3" t="s">
        <v>777</v>
      </c>
    </row>
    <row r="102" spans="1:26" ht="60" customHeight="1" x14ac:dyDescent="0.3">
      <c r="A102" s="429">
        <f>'Unit Data from Audit Worksheet'!A113</f>
        <v>38</v>
      </c>
      <c r="B102" s="54" t="str">
        <f>'Unit Data from Audit Worksheet'!C113</f>
        <v>Net Position</v>
      </c>
      <c r="C102" s="430" t="str">
        <f>'Unit Data from Audit Worksheet'!D113</f>
        <v>Unrestricted fund equity or net position</v>
      </c>
      <c r="D102" s="337"/>
      <c r="E102" s="152">
        <f>'Unit Data from Audit Worksheet'!F113</f>
        <v>0</v>
      </c>
      <c r="F102" s="47"/>
      <c r="G102" s="72"/>
      <c r="H102" s="330"/>
      <c r="I102" s="38"/>
      <c r="J102" s="42">
        <v>38</v>
      </c>
      <c r="K102" s="51" t="s">
        <v>781</v>
      </c>
      <c r="L102" s="431">
        <f t="shared" si="9"/>
        <v>0</v>
      </c>
      <c r="P102" s="299"/>
      <c r="X102" s="428"/>
      <c r="Y102" s="428"/>
      <c r="Z102" s="3" t="s">
        <v>777</v>
      </c>
    </row>
    <row r="103" spans="1:26" ht="60" customHeight="1" x14ac:dyDescent="0.3">
      <c r="A103" s="429">
        <f>'Unit Data from Audit Worksheet'!A114</f>
        <v>32</v>
      </c>
      <c r="B103" s="54" t="str">
        <f>'Unit Data from Audit Worksheet'!C114</f>
        <v>Combined Totals of all Proprietary Funds - Revenue, Expenses, Changes in Net Position</v>
      </c>
      <c r="C103" s="430" t="str">
        <f>'Unit Data from Audit Worksheet'!D114</f>
        <v>Combined Totals of all proprietary Funds - Depreciation &amp; Amortization Expense</v>
      </c>
      <c r="D103" s="337"/>
      <c r="E103" s="152">
        <f>'Unit Data from Audit Worksheet'!F114</f>
        <v>0</v>
      </c>
      <c r="F103" s="47"/>
      <c r="G103" s="72"/>
      <c r="H103" s="330"/>
      <c r="I103" s="38"/>
      <c r="J103" s="42">
        <v>32</v>
      </c>
      <c r="K103" s="51" t="s">
        <v>769</v>
      </c>
      <c r="L103" s="431">
        <f t="shared" si="9"/>
        <v>0</v>
      </c>
      <c r="P103" s="299"/>
      <c r="X103" s="428"/>
      <c r="Y103" s="428"/>
      <c r="Z103" s="3" t="s">
        <v>777</v>
      </c>
    </row>
    <row r="104" spans="1:26" ht="60" customHeight="1" x14ac:dyDescent="0.3">
      <c r="A104" s="429">
        <f>'Unit Data from Audit Worksheet'!A115</f>
        <v>40</v>
      </c>
      <c r="B104" s="54" t="str">
        <f>'Unit Data from Audit Worksheet'!C115</f>
        <v>Revenue, Expenses, Changes in Net Position</v>
      </c>
      <c r="C104" s="430" t="str">
        <f>'Unit Data from Audit Worksheet'!D115</f>
        <v>Net Patient Revenues</v>
      </c>
      <c r="D104" s="337"/>
      <c r="E104" s="152">
        <f>'Unit Data from Audit Worksheet'!F115</f>
        <v>0</v>
      </c>
      <c r="F104" s="47"/>
      <c r="G104" s="72"/>
      <c r="H104" s="330"/>
      <c r="I104" s="38"/>
      <c r="J104" s="42">
        <v>40</v>
      </c>
      <c r="K104" s="51" t="s">
        <v>783</v>
      </c>
      <c r="L104" s="431">
        <f t="shared" si="9"/>
        <v>0</v>
      </c>
      <c r="P104" s="299"/>
      <c r="X104" s="428"/>
      <c r="Y104" s="428"/>
      <c r="Z104" s="3" t="s">
        <v>777</v>
      </c>
    </row>
    <row r="105" spans="1:26" ht="60" customHeight="1" x14ac:dyDescent="0.3">
      <c r="A105" s="429">
        <f>'Unit Data from Audit Worksheet'!A116</f>
        <v>107</v>
      </c>
      <c r="B105" s="54" t="str">
        <f>'Unit Data from Audit Worksheet'!C116</f>
        <v>Revenue, Expenses, Changes in Net Position</v>
      </c>
      <c r="C105" s="430" t="str">
        <f>'Unit Data from Audit Worksheet'!D116</f>
        <v>Total Operating Revenues</v>
      </c>
      <c r="D105" s="337"/>
      <c r="E105" s="152">
        <f>'Unit Data from Audit Worksheet'!F116</f>
        <v>0</v>
      </c>
      <c r="F105" s="47"/>
      <c r="G105" s="72"/>
      <c r="H105" s="330"/>
      <c r="I105" s="38"/>
      <c r="J105" s="42">
        <v>107</v>
      </c>
      <c r="K105" s="51" t="s">
        <v>784</v>
      </c>
      <c r="L105" s="431">
        <f t="shared" si="9"/>
        <v>0</v>
      </c>
      <c r="P105" s="299"/>
      <c r="X105" s="428"/>
      <c r="Y105" s="428"/>
      <c r="Z105" s="3" t="s">
        <v>777</v>
      </c>
    </row>
    <row r="106" spans="1:26" ht="60" customHeight="1" x14ac:dyDescent="0.3">
      <c r="A106" s="429">
        <f>'Unit Data from Audit Worksheet'!A117</f>
        <v>108</v>
      </c>
      <c r="B106" s="54" t="str">
        <f>'Unit Data from Audit Worksheet'!C117</f>
        <v>Revenue, Expenses, Changes in Net Position</v>
      </c>
      <c r="C106" s="430" t="str">
        <f>'Unit Data from Audit Worksheet'!D117</f>
        <v>Total Operating Expenses. May include Interest Expense - Enter as a positive</v>
      </c>
      <c r="D106" s="337"/>
      <c r="E106" s="152">
        <f>'Unit Data from Audit Worksheet'!F117</f>
        <v>0</v>
      </c>
      <c r="F106" s="47"/>
      <c r="G106" s="72"/>
      <c r="H106" s="330"/>
      <c r="I106" s="38"/>
      <c r="J106" s="42">
        <v>108</v>
      </c>
      <c r="K106" s="51" t="s">
        <v>791</v>
      </c>
      <c r="L106" s="431">
        <f t="shared" si="9"/>
        <v>0</v>
      </c>
      <c r="P106" s="299"/>
      <c r="X106" s="428"/>
      <c r="Y106" s="428"/>
      <c r="Z106" s="3" t="s">
        <v>777</v>
      </c>
    </row>
    <row r="107" spans="1:26" ht="60" customHeight="1" x14ac:dyDescent="0.3">
      <c r="A107" s="429">
        <f>'Unit Data from Audit Worksheet'!A118</f>
        <v>41</v>
      </c>
      <c r="B107" s="54" t="str">
        <f>'Unit Data from Audit Worksheet'!C118</f>
        <v>Revenue, Expenses, Changes in Net Position</v>
      </c>
      <c r="C107" s="430" t="str">
        <f>'Unit Data from Audit Worksheet'!D118</f>
        <v xml:space="preserve">Interest Expense - Enter as a positive </v>
      </c>
      <c r="D107" s="337"/>
      <c r="E107" s="152">
        <f>'Unit Data from Audit Worksheet'!F118</f>
        <v>0</v>
      </c>
      <c r="F107" s="47"/>
      <c r="G107" s="72"/>
      <c r="H107" s="330"/>
      <c r="I107" s="38"/>
      <c r="J107" s="42">
        <v>41</v>
      </c>
      <c r="K107" s="51" t="s">
        <v>792</v>
      </c>
      <c r="L107" s="431">
        <f t="shared" si="9"/>
        <v>0</v>
      </c>
      <c r="P107" s="299"/>
      <c r="X107" s="428"/>
      <c r="Y107" s="428"/>
      <c r="Z107" s="3" t="s">
        <v>777</v>
      </c>
    </row>
    <row r="108" spans="1:26" ht="60" customHeight="1" x14ac:dyDescent="0.3">
      <c r="A108" s="429">
        <f>'Unit Data from Audit Worksheet'!A119</f>
        <v>194</v>
      </c>
      <c r="B108" s="54" t="str">
        <f>'Unit Data from Audit Worksheet'!C119</f>
        <v>Revenue, Expenses, Changes in Net Position</v>
      </c>
      <c r="C108" s="430" t="str">
        <f>'Unit Data from Audit Worksheet'!D119</f>
        <v xml:space="preserve">Capital Contributions </v>
      </c>
      <c r="D108" s="337"/>
      <c r="E108" s="152">
        <f>'Unit Data from Audit Worksheet'!F119</f>
        <v>0</v>
      </c>
      <c r="F108" s="47"/>
      <c r="G108" s="72"/>
      <c r="H108" s="330"/>
      <c r="I108" s="38"/>
      <c r="J108" s="42">
        <v>194</v>
      </c>
      <c r="K108" s="51" t="s">
        <v>785</v>
      </c>
      <c r="L108" s="431">
        <f t="shared" si="9"/>
        <v>0</v>
      </c>
      <c r="P108" s="299"/>
      <c r="X108" s="428"/>
      <c r="Y108" s="428"/>
      <c r="Z108" s="3" t="s">
        <v>777</v>
      </c>
    </row>
    <row r="109" spans="1:26" ht="60" customHeight="1" x14ac:dyDescent="0.3">
      <c r="A109" s="429">
        <f>'Unit Data from Audit Worksheet'!A120</f>
        <v>294</v>
      </c>
      <c r="B109" s="54" t="str">
        <f>'Unit Data from Audit Worksheet'!C120</f>
        <v>Revenue, Expenses, Changes in Net Position</v>
      </c>
      <c r="C109" s="430" t="str">
        <f>'Unit Data from Audit Worksheet'!D120</f>
        <v>Change in Net Position</v>
      </c>
      <c r="D109" s="337"/>
      <c r="E109" s="152">
        <f>'Unit Data from Audit Worksheet'!F120</f>
        <v>0</v>
      </c>
      <c r="F109" s="47"/>
      <c r="G109" s="72"/>
      <c r="H109" s="330"/>
      <c r="I109" s="38"/>
      <c r="J109" s="42">
        <v>294</v>
      </c>
      <c r="K109" s="51" t="s">
        <v>786</v>
      </c>
      <c r="L109" s="431">
        <f t="shared" si="9"/>
        <v>0</v>
      </c>
      <c r="P109" s="299"/>
      <c r="X109" s="428"/>
      <c r="Y109" s="428"/>
      <c r="Z109" s="3" t="s">
        <v>777</v>
      </c>
    </row>
    <row r="110" spans="1:26" ht="60" customHeight="1" x14ac:dyDescent="0.3">
      <c r="A110" s="429">
        <f>'Unit Data from Audit Worksheet'!A123</f>
        <v>31</v>
      </c>
      <c r="B110" s="54" t="str">
        <f>'Unit Data from Audit Worksheet'!C123</f>
        <v>Combined Totals of all Proprietary Funds - Revenue, Expenses, Changes in Net Position</v>
      </c>
      <c r="C110" s="430" t="str">
        <f>'Unit Data from Audit Worksheet'!D123</f>
        <v>Combined Totals of all Proprietary Funds - Change in net position - (increase in net position is recorded as a positive and a decrease in net position is recorded as a negative)</v>
      </c>
      <c r="D110" s="337"/>
      <c r="E110" s="152">
        <f>'Unit Data from Audit Worksheet'!F123</f>
        <v>0</v>
      </c>
      <c r="F110" s="47"/>
      <c r="G110" s="72"/>
      <c r="H110" s="330"/>
      <c r="I110" s="38"/>
      <c r="J110" s="42">
        <v>31</v>
      </c>
      <c r="K110" s="51" t="s">
        <v>770</v>
      </c>
      <c r="L110" s="431">
        <f t="shared" si="9"/>
        <v>0</v>
      </c>
      <c r="P110" s="299"/>
      <c r="X110" s="428"/>
      <c r="Y110" s="428"/>
    </row>
    <row r="111" spans="1:26" ht="60" customHeight="1" x14ac:dyDescent="0.3">
      <c r="A111" s="429">
        <f>'Unit Data from Audit Worksheet'!A124</f>
        <v>193</v>
      </c>
      <c r="B111" s="54" t="str">
        <f>'Unit Data from Audit Worksheet'!C124</f>
        <v>Combined Proprietary Funds - Change in Cash Flow Statement</v>
      </c>
      <c r="C111" s="430" t="str">
        <f>'Unit Data from Audit Worksheet'!D124</f>
        <v>Combined Totals of all Proprietary Funds - Capital Contributions</v>
      </c>
      <c r="D111" s="337"/>
      <c r="E111" s="152">
        <f>'Unit Data from Audit Worksheet'!F124</f>
        <v>0</v>
      </c>
      <c r="F111" s="47"/>
      <c r="G111" s="72"/>
      <c r="H111" s="330"/>
      <c r="I111" s="38"/>
      <c r="J111" s="42">
        <v>193</v>
      </c>
      <c r="K111" s="51" t="s">
        <v>304</v>
      </c>
      <c r="L111" s="431">
        <f t="shared" si="9"/>
        <v>0</v>
      </c>
      <c r="P111" s="299"/>
      <c r="X111" s="428"/>
      <c r="Y111" s="428"/>
    </row>
    <row r="112" spans="1:26" ht="60" customHeight="1" x14ac:dyDescent="0.3">
      <c r="A112" s="429">
        <f>'Unit Data from Audit Worksheet'!A125</f>
        <v>33</v>
      </c>
      <c r="B112" s="54" t="str">
        <f>'Unit Data from Audit Worksheet'!C125</f>
        <v>Combined Proprietary Funds - Change in Cash Flow Statement</v>
      </c>
      <c r="C112" s="430" t="str">
        <f>'Unit Data from Audit Worksheet'!D125</f>
        <v>Combined Totals of all Proprietary Funds - Cash Flow from Operating</v>
      </c>
      <c r="D112" s="337"/>
      <c r="E112" s="152">
        <f>'Unit Data from Audit Worksheet'!F125</f>
        <v>0</v>
      </c>
      <c r="F112" s="47"/>
      <c r="G112" s="72"/>
      <c r="H112" s="330"/>
      <c r="I112" s="38"/>
      <c r="J112" s="42">
        <v>33</v>
      </c>
      <c r="K112" s="51" t="s">
        <v>293</v>
      </c>
      <c r="L112" s="431">
        <f t="shared" si="9"/>
        <v>0</v>
      </c>
      <c r="P112" s="299"/>
      <c r="X112" s="428"/>
      <c r="Y112" s="428"/>
    </row>
    <row r="113" spans="1:26" ht="60" customHeight="1" x14ac:dyDescent="0.3">
      <c r="A113" s="429">
        <f>'Unit Data from Audit Worksheet'!A126</f>
        <v>104</v>
      </c>
      <c r="B113" s="54" t="str">
        <f>'Unit Data from Audit Worksheet'!C126</f>
        <v>Cash Flows</v>
      </c>
      <c r="C113" s="430" t="str">
        <f>'Unit Data from Audit Worksheet'!D126</f>
        <v>Capital Outlays</v>
      </c>
      <c r="D113" s="144"/>
      <c r="E113" s="152">
        <f>'Unit Data from Audit Worksheet'!F126</f>
        <v>0</v>
      </c>
      <c r="F113" s="47"/>
      <c r="G113" s="72"/>
      <c r="H113" s="330"/>
      <c r="I113" s="38"/>
      <c r="J113" s="42">
        <v>104</v>
      </c>
      <c r="K113" s="51" t="s">
        <v>788</v>
      </c>
      <c r="L113" s="431">
        <f t="shared" si="9"/>
        <v>0</v>
      </c>
      <c r="P113" s="299"/>
      <c r="X113" s="428"/>
      <c r="Y113" s="428"/>
      <c r="Z113" s="3" t="s">
        <v>777</v>
      </c>
    </row>
    <row r="114" spans="1:26" ht="60" customHeight="1" x14ac:dyDescent="0.3">
      <c r="A114" s="429">
        <f>'Unit Data from Audit Worksheet'!A127</f>
        <v>39</v>
      </c>
      <c r="B114" s="54" t="str">
        <f>'Unit Data from Audit Worksheet'!C127</f>
        <v>Cash Flows</v>
      </c>
      <c r="C114" s="430" t="str">
        <f>'Unit Data from Audit Worksheet'!D127</f>
        <v>Principal Paid - Long-term Debt</v>
      </c>
      <c r="D114" s="144"/>
      <c r="E114" s="152">
        <f>'Unit Data from Audit Worksheet'!F127</f>
        <v>0</v>
      </c>
      <c r="F114" s="47"/>
      <c r="G114" s="72"/>
      <c r="H114" s="330"/>
      <c r="I114" s="38"/>
      <c r="J114" s="42">
        <v>39</v>
      </c>
      <c r="K114" s="51" t="s">
        <v>789</v>
      </c>
      <c r="L114" s="431">
        <f t="shared" si="9"/>
        <v>0</v>
      </c>
      <c r="P114" s="299"/>
      <c r="X114" s="428"/>
      <c r="Y114" s="428"/>
      <c r="Z114" s="3" t="s">
        <v>777</v>
      </c>
    </row>
    <row r="115" spans="1:26" ht="60" customHeight="1" x14ac:dyDescent="0.3">
      <c r="A115" s="318">
        <f>'Unit Data from Audit Worksheet'!A131</f>
        <v>596</v>
      </c>
      <c r="B115" s="332"/>
      <c r="C115" s="317" t="str">
        <f>'Unit Data from Audit Worksheet'!D131</f>
        <v>Indicate if your water/sewer system:
50 - Became Operational
51 - Ceased Operations
52 - No Change</v>
      </c>
      <c r="D115" s="144"/>
      <c r="E115" s="338">
        <f>'Unit Data from Audit Worksheet'!F131</f>
        <v>0</v>
      </c>
      <c r="F115" s="331"/>
      <c r="G115" s="331"/>
      <c r="H115" s="330">
        <f>'Unit Data from Audit Worksheet'!I131</f>
        <v>0</v>
      </c>
      <c r="I115" s="38"/>
      <c r="J115" s="329">
        <v>596</v>
      </c>
      <c r="K115" s="328" t="s">
        <v>372</v>
      </c>
      <c r="L115" s="431">
        <f t="shared" si="9"/>
        <v>0</v>
      </c>
      <c r="P115" s="300"/>
      <c r="W115" s="3" t="b">
        <f t="shared" si="10"/>
        <v>1</v>
      </c>
      <c r="X115" s="428">
        <f t="shared" si="1"/>
        <v>0</v>
      </c>
      <c r="Y115" s="428">
        <f t="shared" si="2"/>
        <v>0</v>
      </c>
    </row>
    <row r="116" spans="1:26" ht="43.2" x14ac:dyDescent="0.3">
      <c r="A116" s="318">
        <f>'Unit Data from Audit Worksheet'!A132</f>
        <v>80</v>
      </c>
      <c r="B116" s="332" t="str">
        <f>'Unit Data from Audit Worksheet'!C132</f>
        <v>Water Sewer Net Position Statement</v>
      </c>
      <c r="C116" s="317" t="str">
        <f>'Unit Data from Audit Worksheet'!D132</f>
        <v>Unrestricted Cash and investments 
Exclude restricted cash and/or restricted investments.</v>
      </c>
      <c r="D116" s="144"/>
      <c r="E116" s="338">
        <f>'Unit Data from Audit Worksheet'!F132</f>
        <v>0</v>
      </c>
      <c r="F116" s="331">
        <f>IF(L116&lt;0,"Error: Number is normally positive.",)</f>
        <v>0</v>
      </c>
      <c r="G116" s="331" t="e">
        <f>'Unit Data from Audit Worksheet'!G132</f>
        <v>#N/A</v>
      </c>
      <c r="H116" s="330">
        <f>'Unit Data from Audit Worksheet'!I132</f>
        <v>0</v>
      </c>
      <c r="I116" s="38"/>
      <c r="J116" s="329">
        <v>80</v>
      </c>
      <c r="K116" s="328" t="s">
        <v>217</v>
      </c>
      <c r="L116" s="431">
        <f t="shared" si="9"/>
        <v>0</v>
      </c>
      <c r="P116" s="300"/>
      <c r="W116" s="3" t="b">
        <f t="shared" si="10"/>
        <v>1</v>
      </c>
      <c r="X116" s="428">
        <f t="shared" si="1"/>
        <v>0</v>
      </c>
      <c r="Y116" s="428">
        <f t="shared" si="2"/>
        <v>0</v>
      </c>
    </row>
    <row r="117" spans="1:26" ht="43.2" x14ac:dyDescent="0.3">
      <c r="A117" s="318">
        <f>'Unit Data from Audit Worksheet'!A133</f>
        <v>81</v>
      </c>
      <c r="B117" s="332" t="str">
        <f>'Unit Data from Audit Worksheet'!C133</f>
        <v>Water Sewer Net Position Statement</v>
      </c>
      <c r="C117" s="317" t="str">
        <f>'Unit Data from Audit Worksheet'!D133</f>
        <v>Customer accounts receivable (net of allowance accounts). 
Include both billed and unbilled amounts.</v>
      </c>
      <c r="D117" s="144"/>
      <c r="E117" s="338">
        <f>'Unit Data from Audit Worksheet'!F133</f>
        <v>0</v>
      </c>
      <c r="F117" s="331">
        <f>IF(L117&lt;0,"Error: Number is normally positive.",)</f>
        <v>0</v>
      </c>
      <c r="G117" s="333"/>
      <c r="H117" s="330">
        <f>'Unit Data from Audit Worksheet'!I133</f>
        <v>0</v>
      </c>
      <c r="I117" s="38"/>
      <c r="J117" s="329">
        <v>81</v>
      </c>
      <c r="K117" s="328" t="s">
        <v>218</v>
      </c>
      <c r="L117" s="431">
        <f t="shared" si="9"/>
        <v>0</v>
      </c>
      <c r="P117" s="300"/>
      <c r="W117" s="3" t="b">
        <f t="shared" si="10"/>
        <v>1</v>
      </c>
      <c r="X117" s="428">
        <f t="shared" ref="X117:X181" si="12">E117-L117</f>
        <v>0</v>
      </c>
      <c r="Y117" s="428">
        <f t="shared" ref="Y117:Y181" si="13">D117-L117</f>
        <v>0</v>
      </c>
    </row>
    <row r="118" spans="1:26" ht="68.25" customHeight="1" x14ac:dyDescent="0.3">
      <c r="A118" s="318">
        <f>'Unit Data from Audit Worksheet'!A134</f>
        <v>579</v>
      </c>
      <c r="B118" s="332" t="str">
        <f>'Unit Data from Audit Worksheet'!C134</f>
        <v>Water Sewer Net Position Statement</v>
      </c>
      <c r="C118" s="317" t="str">
        <f>'Unit Data from Audit Worksheet'!D134</f>
        <v>Water Sewer - Advance To:
Interfund loan receivable-portion of repayment plan longer than 12 months</v>
      </c>
      <c r="D118" s="144"/>
      <c r="E118" s="338">
        <f>'Unit Data from Audit Worksheet'!F134</f>
        <v>0</v>
      </c>
      <c r="F118" s="331"/>
      <c r="G118" s="333"/>
      <c r="H118" s="330"/>
      <c r="I118" s="38"/>
      <c r="J118" s="329">
        <v>579</v>
      </c>
      <c r="K118" s="328" t="s">
        <v>349</v>
      </c>
      <c r="L118" s="431">
        <f t="shared" si="9"/>
        <v>0</v>
      </c>
      <c r="N118" s="455"/>
      <c r="P118" s="300"/>
      <c r="W118" s="3" t="b">
        <f t="shared" si="10"/>
        <v>1</v>
      </c>
      <c r="X118" s="428">
        <f t="shared" si="12"/>
        <v>0</v>
      </c>
      <c r="Y118" s="428">
        <f t="shared" si="13"/>
        <v>0</v>
      </c>
    </row>
    <row r="119" spans="1:26" ht="47.25" customHeight="1" x14ac:dyDescent="0.3">
      <c r="A119" s="318">
        <f>'Unit Data from Audit Worksheet'!A135</f>
        <v>510</v>
      </c>
      <c r="B119" s="332" t="str">
        <f>'Unit Data from Audit Worksheet'!C135</f>
        <v>Water Sewer Net Position Statement</v>
      </c>
      <c r="C119" s="317" t="str">
        <f>'Unit Data from Audit Worksheet'!D135</f>
        <v>Amount of Inventories and Prepaid expenses in current assets</v>
      </c>
      <c r="D119" s="144"/>
      <c r="E119" s="338">
        <f>'Unit Data from Audit Worksheet'!F135</f>
        <v>0</v>
      </c>
      <c r="F119" s="331"/>
      <c r="G119" s="333"/>
      <c r="H119" s="330">
        <f>'Unit Data from Audit Worksheet'!I135</f>
        <v>0</v>
      </c>
      <c r="I119" s="38"/>
      <c r="J119" s="329">
        <v>510</v>
      </c>
      <c r="K119" s="328" t="s">
        <v>219</v>
      </c>
      <c r="L119" s="431">
        <f t="shared" si="9"/>
        <v>0</v>
      </c>
      <c r="P119" s="300"/>
      <c r="W119" s="3" t="b">
        <f t="shared" si="10"/>
        <v>1</v>
      </c>
      <c r="X119" s="428">
        <f t="shared" si="12"/>
        <v>0</v>
      </c>
      <c r="Y119" s="428">
        <f t="shared" si="13"/>
        <v>0</v>
      </c>
    </row>
    <row r="120" spans="1:26" ht="43.2" x14ac:dyDescent="0.3">
      <c r="A120" s="318">
        <f>'Unit Data from Audit Worksheet'!A136</f>
        <v>654</v>
      </c>
      <c r="B120" s="332" t="str">
        <f>'Unit Data from Audit Worksheet'!C136</f>
        <v>Water Sewer Net Position Statement</v>
      </c>
      <c r="C120" s="317" t="str">
        <f>'Unit Data from Audit Worksheet'!D136</f>
        <v xml:space="preserve">Total Current assets as listed on the WS Net Position Statement.  
</v>
      </c>
      <c r="D120" s="144"/>
      <c r="E120" s="338">
        <f>'Unit Data from Audit Worksheet'!F136</f>
        <v>0</v>
      </c>
      <c r="F120" s="331">
        <f>IF((+L116+L117+L119)&gt;L120,"Please review components of current assets above Acct. (80+81+510&gt;654",)</f>
        <v>0</v>
      </c>
      <c r="G120" s="333" t="str">
        <f>IF(Q120=1," Included in error count"," ")</f>
        <v xml:space="preserve"> </v>
      </c>
      <c r="H120" s="330">
        <f>'Unit Data from Audit Worksheet'!I136</f>
        <v>0</v>
      </c>
      <c r="I120" s="38"/>
      <c r="J120" s="329">
        <v>654</v>
      </c>
      <c r="K120" s="335" t="s">
        <v>496</v>
      </c>
      <c r="L120" s="431">
        <f t="shared" si="9"/>
        <v>0</v>
      </c>
      <c r="P120" s="300"/>
      <c r="Q120" s="421">
        <f>IF((+L116+L117+L119)&gt;L120,1,0)</f>
        <v>0</v>
      </c>
      <c r="W120" s="3" t="b">
        <f t="shared" si="10"/>
        <v>1</v>
      </c>
      <c r="X120" s="428">
        <f t="shared" si="12"/>
        <v>0</v>
      </c>
      <c r="Y120" s="428">
        <f t="shared" si="13"/>
        <v>0</v>
      </c>
    </row>
    <row r="121" spans="1:26" ht="43.2" x14ac:dyDescent="0.3">
      <c r="A121" s="318">
        <f>'Unit Data from Audit Worksheet'!A137</f>
        <v>655</v>
      </c>
      <c r="B121" s="332" t="str">
        <f>'Unit Data from Audit Worksheet'!C137</f>
        <v>Water Sewer Net Position Statement</v>
      </c>
      <c r="C121" s="317" t="str">
        <f>'Unit Data from Audit Worksheet'!D137</f>
        <v>WS-Any current assets that are restricted (Cash, Accounts Rec., etc..) and included in account 654 above</v>
      </c>
      <c r="D121" s="144"/>
      <c r="E121" s="338">
        <f>'Unit Data from Audit Worksheet'!F137</f>
        <v>0</v>
      </c>
      <c r="F121" s="331"/>
      <c r="G121" s="333"/>
      <c r="H121" s="330"/>
      <c r="I121" s="38"/>
      <c r="J121" s="329">
        <v>655</v>
      </c>
      <c r="K121" s="335" t="s">
        <v>531</v>
      </c>
      <c r="L121" s="431">
        <f t="shared" si="9"/>
        <v>0</v>
      </c>
      <c r="P121" s="300"/>
      <c r="W121" s="3" t="b">
        <f t="shared" si="10"/>
        <v>1</v>
      </c>
      <c r="X121" s="428">
        <f t="shared" si="12"/>
        <v>0</v>
      </c>
      <c r="Y121" s="428">
        <f t="shared" si="13"/>
        <v>0</v>
      </c>
    </row>
    <row r="122" spans="1:26" ht="42.75" customHeight="1" x14ac:dyDescent="0.3">
      <c r="A122" s="318">
        <f>'Unit Data from Audit Worksheet'!A138</f>
        <v>381</v>
      </c>
      <c r="B122" s="332" t="str">
        <f>'Unit Data from Audit Worksheet'!C138</f>
        <v>Water Sewer Net Position Statement</v>
      </c>
      <c r="C122" s="317" t="str">
        <f>'Unit Data from Audit Worksheet'!D138</f>
        <v>Total Assets and deferred outflows</v>
      </c>
      <c r="D122" s="144"/>
      <c r="E122" s="338">
        <f>'Unit Data from Audit Worksheet'!F138</f>
        <v>0</v>
      </c>
      <c r="F122" s="331" t="str">
        <f>IF(L122&lt;L120,"Please review components of current assets above acct. 381&lt;654"," ")</f>
        <v xml:space="preserve"> </v>
      </c>
      <c r="G122" s="333" t="str">
        <f>IF(Q122=1," Included in error count"," ")</f>
        <v xml:space="preserve"> </v>
      </c>
      <c r="H122" s="330">
        <f>'Unit Data from Audit Worksheet'!I138</f>
        <v>0</v>
      </c>
      <c r="I122" s="38"/>
      <c r="J122" s="329">
        <v>381</v>
      </c>
      <c r="K122" s="328" t="s">
        <v>113</v>
      </c>
      <c r="L122" s="431">
        <f t="shared" si="9"/>
        <v>0</v>
      </c>
      <c r="P122" s="300"/>
      <c r="Q122" s="421">
        <f>IF(L122&lt;L120,1,0)</f>
        <v>0</v>
      </c>
      <c r="W122" s="3" t="b">
        <f t="shared" si="10"/>
        <v>1</v>
      </c>
      <c r="X122" s="428">
        <f t="shared" si="12"/>
        <v>0</v>
      </c>
      <c r="Y122" s="428">
        <f t="shared" si="13"/>
        <v>0</v>
      </c>
    </row>
    <row r="123" spans="1:26" ht="60.75" customHeight="1" x14ac:dyDescent="0.3">
      <c r="A123" s="443">
        <f>'Unit Data from Audit Worksheet'!A139</f>
        <v>578</v>
      </c>
      <c r="B123" s="117" t="str">
        <f>'Unit Data from Audit Worksheet'!C139</f>
        <v>Water Sewer Net Position Statement</v>
      </c>
      <c r="C123" s="433"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350</v>
      </c>
      <c r="L123" s="431">
        <f t="shared" si="9"/>
        <v>0</v>
      </c>
      <c r="P123" s="301"/>
      <c r="Q123" s="334"/>
      <c r="W123" s="3" t="b">
        <f t="shared" si="10"/>
        <v>1</v>
      </c>
      <c r="X123" s="428">
        <f t="shared" si="12"/>
        <v>0</v>
      </c>
      <c r="Y123" s="428">
        <f t="shared" si="13"/>
        <v>0</v>
      </c>
    </row>
    <row r="124" spans="1:26" s="18" customFormat="1" ht="104.25" customHeight="1" x14ac:dyDescent="0.3">
      <c r="A124" s="290">
        <v>633</v>
      </c>
      <c r="B124" s="345" t="str">
        <f>'Unit Data from Audit Worksheet'!C140</f>
        <v>Water Sewer Net Position Statement</v>
      </c>
      <c r="C124" s="290"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44">
        <f>'Unit Data from Audit Worksheet'!F140</f>
        <v>0</v>
      </c>
      <c r="F124" s="326" t="str">
        <f>IF(L124&gt;=(L125+L126+L127+L128+L129+L130),"","Account 633 is less than the total sum of accounts 634 through 638 + 383")</f>
        <v/>
      </c>
      <c r="G124" s="311">
        <f>L124-(L125+L126+L127+L128+L129+L130)</f>
        <v>0</v>
      </c>
      <c r="H124" s="326"/>
      <c r="I124" s="444"/>
      <c r="J124" s="325">
        <v>633</v>
      </c>
      <c r="K124" s="293" t="s">
        <v>454</v>
      </c>
      <c r="L124" s="445">
        <f>IF(D124="",E124,D124)</f>
        <v>0</v>
      </c>
      <c r="M124" s="435"/>
      <c r="N124" s="435"/>
      <c r="O124" s="435"/>
      <c r="P124" s="302"/>
      <c r="Q124" s="436"/>
      <c r="R124" s="3"/>
      <c r="S124" s="435"/>
      <c r="T124" s="435"/>
      <c r="U124" s="435"/>
      <c r="V124" s="435"/>
      <c r="W124" s="18" t="b">
        <f t="shared" si="10"/>
        <v>1</v>
      </c>
      <c r="X124" s="437">
        <f t="shared" si="12"/>
        <v>0</v>
      </c>
      <c r="Y124" s="437">
        <f t="shared" si="13"/>
        <v>0</v>
      </c>
    </row>
    <row r="125" spans="1:26" s="18" customFormat="1" ht="130.5" customHeight="1" x14ac:dyDescent="0.3">
      <c r="A125" s="290">
        <v>634</v>
      </c>
      <c r="B125" s="345" t="str">
        <f>'Unit Data from Audit Worksheet'!C141</f>
        <v>Water Sewer Net Position Statement</v>
      </c>
      <c r="C125" s="290"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44">
        <f>'Unit Data from Audit Worksheet'!F141</f>
        <v>0</v>
      </c>
      <c r="F125" s="326"/>
      <c r="G125" s="311"/>
      <c r="H125" s="326"/>
      <c r="I125" s="444"/>
      <c r="J125" s="325">
        <v>634</v>
      </c>
      <c r="K125" s="293" t="s">
        <v>455</v>
      </c>
      <c r="L125" s="445">
        <f>IF(D125="",E125,D125)</f>
        <v>0</v>
      </c>
      <c r="M125" s="435"/>
      <c r="N125" s="435"/>
      <c r="O125" s="435"/>
      <c r="P125" s="302"/>
      <c r="Q125" s="436"/>
      <c r="R125" s="3"/>
      <c r="S125" s="435"/>
      <c r="T125" s="435"/>
      <c r="U125" s="435"/>
      <c r="V125" s="435"/>
      <c r="W125" s="18" t="b">
        <f t="shared" si="10"/>
        <v>1</v>
      </c>
      <c r="X125" s="437">
        <f t="shared" si="12"/>
        <v>0</v>
      </c>
      <c r="Y125" s="437">
        <f t="shared" si="13"/>
        <v>0</v>
      </c>
    </row>
    <row r="126" spans="1:26" s="18" customFormat="1" ht="105.75" customHeight="1" x14ac:dyDescent="0.3">
      <c r="A126" s="290">
        <v>635</v>
      </c>
      <c r="B126" s="345" t="str">
        <f>'Unit Data from Audit Worksheet'!C142</f>
        <v>Water Sewer Net Position Statement</v>
      </c>
      <c r="C126" s="290"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44">
        <f>'Unit Data from Audit Worksheet'!F142</f>
        <v>0</v>
      </c>
      <c r="F126" s="326"/>
      <c r="G126" s="311"/>
      <c r="H126" s="326"/>
      <c r="I126" s="444"/>
      <c r="J126" s="325">
        <v>635</v>
      </c>
      <c r="K126" s="293" t="s">
        <v>456</v>
      </c>
      <c r="L126" s="445">
        <f>IF(D126="",E126,D126)</f>
        <v>0</v>
      </c>
      <c r="M126" s="435"/>
      <c r="N126" s="435"/>
      <c r="O126" s="435"/>
      <c r="P126" s="302"/>
      <c r="Q126" s="436"/>
      <c r="R126" s="3"/>
      <c r="S126" s="435"/>
      <c r="T126" s="435"/>
      <c r="U126" s="435"/>
      <c r="V126" s="435"/>
      <c r="W126" s="18" t="b">
        <f t="shared" si="10"/>
        <v>1</v>
      </c>
      <c r="X126" s="437">
        <f t="shared" si="12"/>
        <v>0</v>
      </c>
      <c r="Y126" s="437">
        <f t="shared" si="13"/>
        <v>0</v>
      </c>
    </row>
    <row r="127" spans="1:26" s="18" customFormat="1" ht="105.75" customHeight="1" x14ac:dyDescent="0.3">
      <c r="A127" s="290">
        <v>636</v>
      </c>
      <c r="B127" s="345" t="str">
        <f>'Unit Data from Audit Worksheet'!C143</f>
        <v>Water Sewer Net Position Statement</v>
      </c>
      <c r="C127" s="290"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44">
        <f>'Unit Data from Audit Worksheet'!F143</f>
        <v>0</v>
      </c>
      <c r="F127" s="326"/>
      <c r="G127" s="311"/>
      <c r="H127" s="326"/>
      <c r="I127" s="444"/>
      <c r="J127" s="325">
        <v>636</v>
      </c>
      <c r="K127" s="293" t="s">
        <v>451</v>
      </c>
      <c r="L127" s="445">
        <f t="shared" ref="L127:L137" si="14">IF(D127="",E127,D127)</f>
        <v>0</v>
      </c>
      <c r="M127" s="435"/>
      <c r="N127" s="435"/>
      <c r="O127" s="435"/>
      <c r="P127" s="302"/>
      <c r="Q127" s="436"/>
      <c r="R127" s="3"/>
      <c r="S127" s="435"/>
      <c r="T127" s="435"/>
      <c r="U127" s="435"/>
      <c r="V127" s="435"/>
      <c r="W127" s="18" t="b">
        <f t="shared" si="10"/>
        <v>1</v>
      </c>
      <c r="X127" s="437">
        <f t="shared" si="12"/>
        <v>0</v>
      </c>
      <c r="Y127" s="437">
        <f t="shared" si="13"/>
        <v>0</v>
      </c>
    </row>
    <row r="128" spans="1:26" s="18" customFormat="1" ht="59.25" customHeight="1" x14ac:dyDescent="0.3">
      <c r="A128" s="290">
        <v>637</v>
      </c>
      <c r="B128" s="345" t="str">
        <f>'Unit Data from Audit Worksheet'!C144</f>
        <v>Water Sewer Net Position Statement</v>
      </c>
      <c r="C128" s="290" t="str">
        <f>'Unit Data from Audit Worksheet'!D144</f>
        <v>Please enter any current liabilities that are payable from restricted assets and included in account 633 above.
Enter as positive</v>
      </c>
      <c r="D128" s="110"/>
      <c r="E128" s="344">
        <f>'Unit Data from Audit Worksheet'!F144</f>
        <v>0</v>
      </c>
      <c r="F128" s="326"/>
      <c r="G128" s="311"/>
      <c r="H128" s="326"/>
      <c r="I128" s="444"/>
      <c r="J128" s="325">
        <v>637</v>
      </c>
      <c r="K128" s="293" t="s">
        <v>452</v>
      </c>
      <c r="L128" s="445">
        <f t="shared" si="14"/>
        <v>0</v>
      </c>
      <c r="M128" s="435"/>
      <c r="N128" s="435"/>
      <c r="O128" s="435"/>
      <c r="P128" s="302"/>
      <c r="Q128" s="436"/>
      <c r="R128" s="3"/>
      <c r="S128" s="435"/>
      <c r="T128" s="435"/>
      <c r="U128" s="435"/>
      <c r="V128" s="435"/>
      <c r="W128" s="18" t="b">
        <f t="shared" si="10"/>
        <v>1</v>
      </c>
      <c r="X128" s="437">
        <f t="shared" si="12"/>
        <v>0</v>
      </c>
      <c r="Y128" s="437">
        <f t="shared" si="13"/>
        <v>0</v>
      </c>
    </row>
    <row r="129" spans="1:25" s="18" customFormat="1" ht="103.5" customHeight="1" x14ac:dyDescent="0.3">
      <c r="A129" s="290">
        <v>638</v>
      </c>
      <c r="B129" s="345" t="str">
        <f>'Unit Data from Audit Worksheet'!C145</f>
        <v>Water Sewer Net Position Statement</v>
      </c>
      <c r="C129" s="290"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44">
        <f>'Unit Data from Audit Worksheet'!F145</f>
        <v>0</v>
      </c>
      <c r="F129" s="326"/>
      <c r="G129" s="311"/>
      <c r="H129" s="326"/>
      <c r="I129" s="444"/>
      <c r="J129" s="325">
        <v>638</v>
      </c>
      <c r="K129" s="293" t="s">
        <v>457</v>
      </c>
      <c r="L129" s="445">
        <f t="shared" si="14"/>
        <v>0</v>
      </c>
      <c r="M129" s="435"/>
      <c r="N129" s="435"/>
      <c r="O129" s="435"/>
      <c r="P129" s="302"/>
      <c r="Q129" s="436"/>
      <c r="R129" s="3"/>
      <c r="S129" s="435"/>
      <c r="T129" s="435"/>
      <c r="U129" s="435"/>
      <c r="V129" s="435"/>
      <c r="W129" s="18" t="b">
        <f t="shared" si="10"/>
        <v>1</v>
      </c>
      <c r="X129" s="437">
        <f t="shared" si="12"/>
        <v>0</v>
      </c>
      <c r="Y129" s="437">
        <f t="shared" si="13"/>
        <v>0</v>
      </c>
    </row>
    <row r="130" spans="1:25" ht="76.5" customHeight="1" x14ac:dyDescent="0.3">
      <c r="A130" s="429">
        <f>'Unit Data from Audit Worksheet'!A146</f>
        <v>383</v>
      </c>
      <c r="B130" s="54" t="str">
        <f>'Unit Data from Audit Worksheet'!C146</f>
        <v>Water Sewer Net Position Statement</v>
      </c>
      <c r="C130" s="430"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30">
        <f>'Unit Data from Audit Worksheet'!I146</f>
        <v>0</v>
      </c>
      <c r="I130" s="38"/>
      <c r="J130" s="42">
        <v>383</v>
      </c>
      <c r="K130" s="51" t="s">
        <v>220</v>
      </c>
      <c r="L130" s="431">
        <f t="shared" si="14"/>
        <v>0</v>
      </c>
      <c r="P130" s="299"/>
      <c r="W130" s="3" t="b">
        <f t="shared" si="10"/>
        <v>1</v>
      </c>
      <c r="X130" s="428">
        <f t="shared" si="12"/>
        <v>0</v>
      </c>
      <c r="Y130" s="428">
        <f t="shared" si="13"/>
        <v>0</v>
      </c>
    </row>
    <row r="131" spans="1:25" ht="54" customHeight="1" x14ac:dyDescent="0.3">
      <c r="A131" s="318">
        <f>'Unit Data from Audit Worksheet'!A147</f>
        <v>349</v>
      </c>
      <c r="B131" s="332" t="str">
        <f>'Unit Data from Audit Worksheet'!C147</f>
        <v>Water Sewer Net Position Statement</v>
      </c>
      <c r="C131" s="317" t="str">
        <f>'Unit Data from Audit Worksheet'!D147</f>
        <v>Total Liabilities and deferred inflows</v>
      </c>
      <c r="D131" s="144"/>
      <c r="E131" s="338">
        <f>'Unit Data from Audit Worksheet'!F147</f>
        <v>0</v>
      </c>
      <c r="F131" s="331">
        <f>IF(L124&gt;L131,"Error: Please review accts 633&gt;349",)</f>
        <v>0</v>
      </c>
      <c r="G131" s="333" t="str">
        <f>IF(Q131=1," Included in error count"," ")</f>
        <v xml:space="preserve"> </v>
      </c>
      <c r="H131" s="330">
        <f>'Unit Data from Audit Worksheet'!I147</f>
        <v>0</v>
      </c>
      <c r="I131" s="38"/>
      <c r="J131" s="329">
        <v>349</v>
      </c>
      <c r="K131" s="328" t="s">
        <v>122</v>
      </c>
      <c r="L131" s="431">
        <f t="shared" si="14"/>
        <v>0</v>
      </c>
      <c r="P131" s="300"/>
      <c r="Q131" s="421">
        <f>IF(L124&gt;L131,1,0)</f>
        <v>0</v>
      </c>
      <c r="W131" s="3" t="b">
        <f t="shared" si="10"/>
        <v>1</v>
      </c>
      <c r="X131" s="428">
        <f t="shared" si="12"/>
        <v>0</v>
      </c>
      <c r="Y131" s="428">
        <f t="shared" si="13"/>
        <v>0</v>
      </c>
    </row>
    <row r="132" spans="1:25" ht="56.25" customHeight="1" x14ac:dyDescent="0.3">
      <c r="A132" s="318">
        <f>'Unit Data from Audit Worksheet'!A148</f>
        <v>375</v>
      </c>
      <c r="B132" s="332" t="str">
        <f>'Unit Data from Audit Worksheet'!C148</f>
        <v>Water Sewer Net Position Statement</v>
      </c>
      <c r="C132" s="317" t="str">
        <f>'Unit Data from Audit Worksheet'!D148</f>
        <v>Total Net position, Unrestricted - enter negative unrestricted net position as a negative</v>
      </c>
      <c r="D132" s="144"/>
      <c r="E132" s="338">
        <f>'Unit Data from Audit Worksheet'!F148</f>
        <v>0</v>
      </c>
      <c r="F132" s="331"/>
      <c r="G132" s="333"/>
      <c r="H132" s="330">
        <f>'Unit Data from Audit Worksheet'!I148</f>
        <v>0</v>
      </c>
      <c r="I132" s="38"/>
      <c r="J132" s="329">
        <v>375</v>
      </c>
      <c r="K132" s="328" t="s">
        <v>221</v>
      </c>
      <c r="L132" s="431">
        <f t="shared" si="14"/>
        <v>0</v>
      </c>
      <c r="P132" s="300"/>
      <c r="W132" s="3" t="b">
        <f t="shared" si="10"/>
        <v>1</v>
      </c>
      <c r="X132" s="428">
        <f t="shared" si="12"/>
        <v>0</v>
      </c>
      <c r="Y132" s="428">
        <f t="shared" si="13"/>
        <v>0</v>
      </c>
    </row>
    <row r="133" spans="1:25" ht="56.25" customHeight="1" x14ac:dyDescent="0.3">
      <c r="A133" s="318">
        <f>'Unit Data from Audit Worksheet'!A149</f>
        <v>83</v>
      </c>
      <c r="B133" s="332" t="str">
        <f>'Unit Data from Audit Worksheet'!C149</f>
        <v>Water Sewer Net Position Statement</v>
      </c>
      <c r="C133" s="317" t="str">
        <f>'Unit Data from Audit Worksheet'!D149</f>
        <v>Total Net position</v>
      </c>
      <c r="D133" s="144"/>
      <c r="E133" s="338">
        <f>'Unit Data from Audit Worksheet'!F149</f>
        <v>0</v>
      </c>
      <c r="F133" s="331">
        <f>IF(+L122-L131-L133=0,,"Error: Total assets less total liabilities do not equal net position acct 381-349-83=0")</f>
        <v>0</v>
      </c>
      <c r="G133" s="91">
        <f>L122-L131-L133</f>
        <v>0</v>
      </c>
      <c r="H133" s="330">
        <f>'Unit Data from Audit Worksheet'!I149</f>
        <v>0</v>
      </c>
      <c r="I133" s="38"/>
      <c r="J133" s="329">
        <v>83</v>
      </c>
      <c r="K133" s="328" t="s">
        <v>102</v>
      </c>
      <c r="L133" s="431">
        <f t="shared" si="14"/>
        <v>0</v>
      </c>
      <c r="O133" s="439" t="e">
        <f>'Unit Data from Audit Worksheet'!E149</f>
        <v>#N/A</v>
      </c>
      <c r="P133" s="300"/>
      <c r="Q133" s="421">
        <f>IF(G133&lt;&gt;0,1,0)</f>
        <v>0</v>
      </c>
      <c r="W133" s="3" t="b">
        <f t="shared" ref="W133:W164" si="15">EXACT(A133,J133)</f>
        <v>1</v>
      </c>
      <c r="X133" s="428">
        <f t="shared" si="12"/>
        <v>0</v>
      </c>
      <c r="Y133" s="428">
        <f t="shared" si="13"/>
        <v>0</v>
      </c>
    </row>
    <row r="134" spans="1:25" ht="56.25" customHeight="1" x14ac:dyDescent="0.3">
      <c r="A134" s="318">
        <f>'Unit Data from Audit Worksheet'!A151</f>
        <v>90</v>
      </c>
      <c r="B134" s="332" t="str">
        <f>'Unit Data from Audit Worksheet'!C151</f>
        <v>Electric Fund Net Position Statement</v>
      </c>
      <c r="C134" s="317" t="str">
        <f>'Unit Data from Audit Worksheet'!D151</f>
        <v>All Unrestricted Cash and Investments.  
Exclude any restricted cash and investments.</v>
      </c>
      <c r="D134" s="144"/>
      <c r="E134" s="338">
        <f>'Unit Data from Audit Worksheet'!F151</f>
        <v>0</v>
      </c>
      <c r="F134" s="331">
        <f>IF(L134&lt;0,"Error: Number is normally positive.",)</f>
        <v>0</v>
      </c>
      <c r="G134" s="333"/>
      <c r="H134" s="330">
        <f>'Unit Data from Audit Worksheet'!I151</f>
        <v>0</v>
      </c>
      <c r="I134" s="38"/>
      <c r="J134" s="329">
        <v>90</v>
      </c>
      <c r="K134" s="328" t="s">
        <v>222</v>
      </c>
      <c r="L134" s="431">
        <f t="shared" si="14"/>
        <v>0</v>
      </c>
      <c r="P134" s="300"/>
      <c r="W134" s="3" t="b">
        <f t="shared" si="15"/>
        <v>1</v>
      </c>
      <c r="X134" s="428">
        <f t="shared" si="12"/>
        <v>0</v>
      </c>
      <c r="Y134" s="428">
        <f t="shared" si="13"/>
        <v>0</v>
      </c>
    </row>
    <row r="135" spans="1:25" ht="56.25" customHeight="1" x14ac:dyDescent="0.3">
      <c r="A135" s="318">
        <f>'Unit Data from Audit Worksheet'!A152</f>
        <v>91</v>
      </c>
      <c r="B135" s="332" t="str">
        <f>'Unit Data from Audit Worksheet'!C152</f>
        <v>Electric Fund Net Position Statement</v>
      </c>
      <c r="C135" s="317" t="str">
        <f>'Unit Data from Audit Worksheet'!D152</f>
        <v xml:space="preserve">Customer accounts receivable (net of allowance accounts)
Include billed and unbilled amounts </v>
      </c>
      <c r="D135" s="144"/>
      <c r="E135" s="338">
        <f>'Unit Data from Audit Worksheet'!F152</f>
        <v>0</v>
      </c>
      <c r="F135" s="331">
        <f>IF(L135&lt;0,"Error: Number is normally positive.",)</f>
        <v>0</v>
      </c>
      <c r="G135" s="333"/>
      <c r="H135" s="330">
        <f>'Unit Data from Audit Worksheet'!I152</f>
        <v>0</v>
      </c>
      <c r="I135" s="38"/>
      <c r="J135" s="329">
        <v>91</v>
      </c>
      <c r="K135" s="328" t="s">
        <v>223</v>
      </c>
      <c r="L135" s="431">
        <f t="shared" si="14"/>
        <v>0</v>
      </c>
      <c r="P135" s="300"/>
      <c r="W135" s="3" t="b">
        <f t="shared" si="15"/>
        <v>1</v>
      </c>
      <c r="X135" s="428">
        <f t="shared" si="12"/>
        <v>0</v>
      </c>
      <c r="Y135" s="428">
        <f t="shared" si="13"/>
        <v>0</v>
      </c>
    </row>
    <row r="136" spans="1:25" ht="56.25" customHeight="1" x14ac:dyDescent="0.3">
      <c r="A136" s="318">
        <f>'Unit Data from Audit Worksheet'!A153</f>
        <v>581</v>
      </c>
      <c r="B136" s="332" t="str">
        <f>'Unit Data from Audit Worksheet'!C153</f>
        <v>Electric Fund Net Position Statement</v>
      </c>
      <c r="C136" s="317" t="str">
        <f>'Unit Data from Audit Worksheet'!D153</f>
        <v>Electric Fund - Advance To:
Interfund loan receivable-portion of repayment plan longer than 12 months</v>
      </c>
      <c r="D136" s="144"/>
      <c r="E136" s="338">
        <f>'Unit Data from Audit Worksheet'!F153</f>
        <v>0</v>
      </c>
      <c r="F136" s="331"/>
      <c r="G136" s="333"/>
      <c r="H136" s="330"/>
      <c r="I136" s="38"/>
      <c r="J136" s="329">
        <v>581</v>
      </c>
      <c r="K136" s="328" t="s">
        <v>351</v>
      </c>
      <c r="L136" s="431">
        <f t="shared" si="14"/>
        <v>0</v>
      </c>
      <c r="P136" s="300"/>
      <c r="W136" s="3" t="b">
        <f t="shared" si="15"/>
        <v>1</v>
      </c>
      <c r="X136" s="428">
        <f t="shared" si="12"/>
        <v>0</v>
      </c>
      <c r="Y136" s="428">
        <f t="shared" si="13"/>
        <v>0</v>
      </c>
    </row>
    <row r="137" spans="1:25" ht="56.25" customHeight="1" x14ac:dyDescent="0.3">
      <c r="A137" s="318">
        <f>'Unit Data from Audit Worksheet'!A154</f>
        <v>511</v>
      </c>
      <c r="B137" s="332" t="str">
        <f>'Unit Data from Audit Worksheet'!C154</f>
        <v>Electric Fund Net Position Statement</v>
      </c>
      <c r="C137" s="317" t="str">
        <f>'Unit Data from Audit Worksheet'!D154</f>
        <v>Amount of inventories and prepaids</v>
      </c>
      <c r="D137" s="144"/>
      <c r="E137" s="338">
        <f>'Unit Data from Audit Worksheet'!F154</f>
        <v>0</v>
      </c>
      <c r="F137" s="331">
        <f t="shared" ref="F137:F142" si="16">IF(L137&lt;0,"Error: Number is normally positive.",)</f>
        <v>0</v>
      </c>
      <c r="G137" s="333"/>
      <c r="H137" s="330">
        <f>'Unit Data from Audit Worksheet'!I154</f>
        <v>0</v>
      </c>
      <c r="I137" s="38"/>
      <c r="J137" s="329">
        <v>511</v>
      </c>
      <c r="K137" s="328" t="s">
        <v>224</v>
      </c>
      <c r="L137" s="431">
        <f t="shared" si="14"/>
        <v>0</v>
      </c>
      <c r="P137" s="300"/>
      <c r="W137" s="3" t="b">
        <f t="shared" si="15"/>
        <v>1</v>
      </c>
      <c r="X137" s="428">
        <f t="shared" si="12"/>
        <v>0</v>
      </c>
      <c r="Y137" s="428">
        <f t="shared" si="13"/>
        <v>0</v>
      </c>
    </row>
    <row r="138" spans="1:25" ht="62.25" customHeight="1" x14ac:dyDescent="0.3">
      <c r="A138" s="318">
        <f>'Unit Data from Audit Worksheet'!A155</f>
        <v>657</v>
      </c>
      <c r="B138" s="332" t="str">
        <f>'Unit Data from Audit Worksheet'!C155</f>
        <v>Electric Fund Net Position Statement</v>
      </c>
      <c r="C138" s="317" t="str">
        <f>'Unit Data from Audit Worksheet'!D155</f>
        <v xml:space="preserve">Total Current assets as listed on the Electric Net Position Statement.  
</v>
      </c>
      <c r="D138" s="144"/>
      <c r="E138" s="338">
        <f>'Unit Data from Audit Worksheet'!F155</f>
        <v>0</v>
      </c>
      <c r="F138" s="331">
        <f t="shared" si="16"/>
        <v>0</v>
      </c>
      <c r="G138" s="333"/>
      <c r="H138" s="330">
        <f>'Unit Data from Audit Worksheet'!I155</f>
        <v>0</v>
      </c>
      <c r="I138" s="38"/>
      <c r="J138" s="329">
        <v>657</v>
      </c>
      <c r="K138" s="328" t="s">
        <v>501</v>
      </c>
      <c r="L138" s="445">
        <f>IF(D138="",E138,D138)</f>
        <v>0</v>
      </c>
      <c r="P138" s="300"/>
      <c r="Q138" s="421">
        <f>IF((L134+L135+L137)&gt;L140,1,0)</f>
        <v>0</v>
      </c>
      <c r="W138" s="3" t="b">
        <f t="shared" si="15"/>
        <v>1</v>
      </c>
      <c r="X138" s="428">
        <f t="shared" si="12"/>
        <v>0</v>
      </c>
      <c r="Y138" s="428">
        <f t="shared" si="13"/>
        <v>0</v>
      </c>
    </row>
    <row r="139" spans="1:25" ht="62.25" customHeight="1" x14ac:dyDescent="0.3">
      <c r="A139" s="318">
        <f>'Unit Data from Audit Worksheet'!A156</f>
        <v>658</v>
      </c>
      <c r="B139" s="332" t="str">
        <f>'Unit Data from Audit Worksheet'!C156</f>
        <v>Electric Fund Net Position Statement</v>
      </c>
      <c r="C139" s="317" t="str">
        <f>'Unit Data from Audit Worksheet'!D156</f>
        <v>Electric-Any current assets that are restricted (Cash, Accounts Rec., etc..) and included in account 657 above</v>
      </c>
      <c r="D139" s="144"/>
      <c r="E139" s="338">
        <f>'Unit Data from Audit Worksheet'!F156</f>
        <v>0</v>
      </c>
      <c r="F139" s="331">
        <f t="shared" si="16"/>
        <v>0</v>
      </c>
      <c r="G139" s="333"/>
      <c r="H139" s="330"/>
      <c r="I139" s="38"/>
      <c r="J139" s="329">
        <v>658</v>
      </c>
      <c r="K139" s="328" t="s">
        <v>530</v>
      </c>
      <c r="L139" s="445">
        <f>IF(D139="",E139,D139)</f>
        <v>0</v>
      </c>
      <c r="P139" s="300"/>
      <c r="W139" s="3" t="b">
        <f t="shared" si="15"/>
        <v>1</v>
      </c>
      <c r="X139" s="428">
        <f t="shared" si="12"/>
        <v>0</v>
      </c>
      <c r="Y139" s="428">
        <f t="shared" si="13"/>
        <v>0</v>
      </c>
    </row>
    <row r="140" spans="1:25" ht="39.75" customHeight="1" x14ac:dyDescent="0.3">
      <c r="A140" s="318">
        <f>'Unit Data from Audit Worksheet'!A157</f>
        <v>382</v>
      </c>
      <c r="B140" s="332" t="str">
        <f>'Unit Data from Audit Worksheet'!C157</f>
        <v>Electric Fund Net Position Statement</v>
      </c>
      <c r="C140" s="317" t="str">
        <f>'Unit Data from Audit Worksheet'!D157</f>
        <v>Total Assets and deferred outflows</v>
      </c>
      <c r="D140" s="144"/>
      <c r="E140" s="338">
        <f>'Unit Data from Audit Worksheet'!F157</f>
        <v>0</v>
      </c>
      <c r="F140" s="331">
        <f t="shared" si="16"/>
        <v>0</v>
      </c>
      <c r="G140" s="333"/>
      <c r="H140" s="330">
        <f>'Unit Data from Audit Worksheet'!I157</f>
        <v>0</v>
      </c>
      <c r="I140" s="38"/>
      <c r="J140" s="329">
        <v>382</v>
      </c>
      <c r="K140" s="328" t="s">
        <v>114</v>
      </c>
      <c r="L140" s="431">
        <f>IF(D140="",E140,D140)</f>
        <v>0</v>
      </c>
      <c r="P140" s="300"/>
      <c r="W140" s="3" t="b">
        <f t="shared" si="15"/>
        <v>1</v>
      </c>
      <c r="X140" s="428">
        <f t="shared" si="12"/>
        <v>0</v>
      </c>
      <c r="Y140" s="428">
        <f t="shared" si="13"/>
        <v>0</v>
      </c>
    </row>
    <row r="141" spans="1:25" ht="39.75" customHeight="1" x14ac:dyDescent="0.3">
      <c r="A141" s="318">
        <f>'Unit Data from Audit Worksheet'!A158</f>
        <v>360</v>
      </c>
      <c r="B141" s="332" t="str">
        <f>'Unit Data from Audit Worksheet'!C158</f>
        <v>Electric Fund Net Position Statement</v>
      </c>
      <c r="C141" s="317" t="str">
        <f>'Unit Data from Audit Worksheet'!D158</f>
        <v>Total liabilities and total deferred inflows</v>
      </c>
      <c r="D141" s="144"/>
      <c r="E141" s="338">
        <f>'Unit Data from Audit Worksheet'!F158</f>
        <v>0</v>
      </c>
      <c r="F141" s="331">
        <f t="shared" si="16"/>
        <v>0</v>
      </c>
      <c r="G141" s="333"/>
      <c r="H141" s="330">
        <f>'Unit Data from Audit Worksheet'!I158</f>
        <v>0</v>
      </c>
      <c r="I141" s="38"/>
      <c r="J141" s="329">
        <v>360</v>
      </c>
      <c r="K141" s="109" t="s">
        <v>125</v>
      </c>
      <c r="L141" s="431">
        <f>IF(D141="",E141,D141)</f>
        <v>0</v>
      </c>
      <c r="P141" s="300"/>
      <c r="W141" s="3" t="b">
        <f t="shared" si="15"/>
        <v>1</v>
      </c>
      <c r="X141" s="428">
        <f t="shared" si="12"/>
        <v>0</v>
      </c>
      <c r="Y141" s="428">
        <f t="shared" si="13"/>
        <v>0</v>
      </c>
    </row>
    <row r="142" spans="1:25" ht="58.5" customHeight="1" x14ac:dyDescent="0.3">
      <c r="A142" s="318">
        <f>'Unit Data from Audit Worksheet'!A159</f>
        <v>580</v>
      </c>
      <c r="B142" s="332" t="str">
        <f>'Unit Data from Audit Worksheet'!C159</f>
        <v>Electric Fund Net Position Statement</v>
      </c>
      <c r="C142" s="317" t="str">
        <f>'Unit Data from Audit Worksheet'!D159</f>
        <v>Electric Fund - Advance From:
Interfund loans payable-portion of repayment plan longer than 12 months</v>
      </c>
      <c r="D142" s="144"/>
      <c r="E142" s="338">
        <f>'Unit Data from Audit Worksheet'!F159</f>
        <v>0</v>
      </c>
      <c r="F142" s="331">
        <f t="shared" si="16"/>
        <v>0</v>
      </c>
      <c r="G142" s="333"/>
      <c r="H142" s="330">
        <f>'Unit Data from Audit Worksheet'!I159</f>
        <v>0</v>
      </c>
      <c r="I142" s="38"/>
      <c r="J142" s="329">
        <v>580</v>
      </c>
      <c r="K142" s="109" t="s">
        <v>352</v>
      </c>
      <c r="L142" s="431">
        <f>IF(D142="",E142,D142)</f>
        <v>0</v>
      </c>
      <c r="N142" s="440"/>
      <c r="P142" s="300"/>
      <c r="W142" s="3" t="b">
        <f t="shared" si="15"/>
        <v>1</v>
      </c>
      <c r="X142" s="428">
        <f t="shared" si="12"/>
        <v>0</v>
      </c>
      <c r="Y142" s="428">
        <f t="shared" si="13"/>
        <v>0</v>
      </c>
    </row>
    <row r="143" spans="1:25" s="18" customFormat="1" ht="104.25" customHeight="1" x14ac:dyDescent="0.3">
      <c r="A143" s="318">
        <f>'Unit Data from Audit Worksheet'!A160</f>
        <v>639</v>
      </c>
      <c r="B143" s="332" t="str">
        <f>'Unit Data from Audit Worksheet'!C160</f>
        <v>Electric Fund Net Position Statement</v>
      </c>
      <c r="C143" s="317"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38">
        <f>'Unit Data from Audit Worksheet'!F160</f>
        <v>0</v>
      </c>
      <c r="F143" s="331" t="str">
        <f>IF(L143&gt;=(L144+L145+L146+L147+L148+L149),"","Account 639 is less than the total sum of accounts 640 through 644 + 384")</f>
        <v/>
      </c>
      <c r="G143" s="333">
        <f>L143-(L144+L145+L146+L147+L148+L149)</f>
        <v>0</v>
      </c>
      <c r="H143" s="330">
        <f>'Unit Data from Audit Worksheet'!I160</f>
        <v>0</v>
      </c>
      <c r="I143" s="38"/>
      <c r="J143" s="329">
        <v>639</v>
      </c>
      <c r="K143" s="328" t="s">
        <v>458</v>
      </c>
      <c r="L143" s="445">
        <f t="shared" ref="L143:L164" si="17">IF(D143="",E143,D143)</f>
        <v>0</v>
      </c>
      <c r="P143" s="300"/>
      <c r="Q143" s="421"/>
      <c r="R143" s="3"/>
      <c r="W143" s="18" t="b">
        <f t="shared" si="15"/>
        <v>1</v>
      </c>
      <c r="X143" s="437">
        <f t="shared" si="12"/>
        <v>0</v>
      </c>
      <c r="Y143" s="437">
        <f t="shared" si="13"/>
        <v>0</v>
      </c>
    </row>
    <row r="144" spans="1:25" s="18" customFormat="1" ht="104.25" customHeight="1" x14ac:dyDescent="0.3">
      <c r="A144" s="318">
        <f>'Unit Data from Audit Worksheet'!A161</f>
        <v>640</v>
      </c>
      <c r="B144" s="332" t="str">
        <f>'Unit Data from Audit Worksheet'!C161</f>
        <v>Electric Fund Net Position Statement</v>
      </c>
      <c r="C144" s="317"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38">
        <f>'Unit Data from Audit Worksheet'!F161</f>
        <v>0</v>
      </c>
      <c r="F144" s="331">
        <f t="shared" ref="F144:F149" si="18">IF(L144&lt;0,"Error: Number is normally positive.",)</f>
        <v>0</v>
      </c>
      <c r="G144" s="333"/>
      <c r="H144" s="330">
        <f>'Unit Data from Audit Worksheet'!I161</f>
        <v>0</v>
      </c>
      <c r="I144" s="38"/>
      <c r="J144" s="329">
        <v>640</v>
      </c>
      <c r="K144" s="328" t="s">
        <v>459</v>
      </c>
      <c r="L144" s="445">
        <f t="shared" si="17"/>
        <v>0</v>
      </c>
      <c r="P144" s="300"/>
      <c r="Q144" s="421"/>
      <c r="R144" s="3"/>
      <c r="W144" s="18" t="b">
        <f t="shared" si="15"/>
        <v>1</v>
      </c>
      <c r="X144" s="437">
        <f t="shared" si="12"/>
        <v>0</v>
      </c>
      <c r="Y144" s="437">
        <f t="shared" si="13"/>
        <v>0</v>
      </c>
    </row>
    <row r="145" spans="1:25" s="18" customFormat="1" ht="104.25" customHeight="1" x14ac:dyDescent="0.3">
      <c r="A145" s="318">
        <f>'Unit Data from Audit Worksheet'!A162</f>
        <v>641</v>
      </c>
      <c r="B145" s="332" t="str">
        <f>'Unit Data from Audit Worksheet'!C162</f>
        <v>Electric Fund Net Position Statement</v>
      </c>
      <c r="C145" s="317"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38">
        <f>'Unit Data from Audit Worksheet'!F162</f>
        <v>0</v>
      </c>
      <c r="F145" s="331">
        <f t="shared" si="18"/>
        <v>0</v>
      </c>
      <c r="G145" s="333"/>
      <c r="H145" s="330">
        <f>'Unit Data from Audit Worksheet'!I162</f>
        <v>0</v>
      </c>
      <c r="I145" s="38"/>
      <c r="J145" s="329">
        <v>641</v>
      </c>
      <c r="K145" s="328" t="s">
        <v>460</v>
      </c>
      <c r="L145" s="445">
        <f t="shared" si="17"/>
        <v>0</v>
      </c>
      <c r="P145" s="300"/>
      <c r="Q145" s="421"/>
      <c r="R145" s="3"/>
      <c r="W145" s="18" t="b">
        <f t="shared" si="15"/>
        <v>1</v>
      </c>
      <c r="X145" s="437">
        <f t="shared" si="12"/>
        <v>0</v>
      </c>
      <c r="Y145" s="437">
        <f t="shared" si="13"/>
        <v>0</v>
      </c>
    </row>
    <row r="146" spans="1:25" s="18" customFormat="1" ht="104.25" customHeight="1" x14ac:dyDescent="0.3">
      <c r="A146" s="318">
        <f>'Unit Data from Audit Worksheet'!A163</f>
        <v>642</v>
      </c>
      <c r="B146" s="332" t="str">
        <f>'Unit Data from Audit Worksheet'!C163</f>
        <v>Electric Fund Net Position Statement</v>
      </c>
      <c r="C146" s="317"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38">
        <f>'Unit Data from Audit Worksheet'!F163</f>
        <v>0</v>
      </c>
      <c r="F146" s="331">
        <f t="shared" si="18"/>
        <v>0</v>
      </c>
      <c r="G146" s="333"/>
      <c r="H146" s="330">
        <f>'Unit Data from Audit Worksheet'!I163</f>
        <v>0</v>
      </c>
      <c r="I146" s="38"/>
      <c r="J146" s="329">
        <v>642</v>
      </c>
      <c r="K146" s="328" t="s">
        <v>461</v>
      </c>
      <c r="L146" s="445">
        <f t="shared" si="17"/>
        <v>0</v>
      </c>
      <c r="P146" s="300"/>
      <c r="Q146" s="421"/>
      <c r="R146" s="3"/>
      <c r="W146" s="18" t="b">
        <f t="shared" si="15"/>
        <v>1</v>
      </c>
      <c r="X146" s="437">
        <f t="shared" si="12"/>
        <v>0</v>
      </c>
      <c r="Y146" s="437">
        <f t="shared" si="13"/>
        <v>0</v>
      </c>
    </row>
    <row r="147" spans="1:25" s="18" customFormat="1" ht="60.75" customHeight="1" x14ac:dyDescent="0.3">
      <c r="A147" s="318">
        <f>'Unit Data from Audit Worksheet'!A164</f>
        <v>643</v>
      </c>
      <c r="B147" s="332" t="str">
        <f>'Unit Data from Audit Worksheet'!C164</f>
        <v>Electric Fund Net Position Statement</v>
      </c>
      <c r="C147" s="317" t="str">
        <f>'Unit Data from Audit Worksheet'!D164</f>
        <v>Please enter any current liabilities that are payable from restricted assets and included in account 639 above. 
Enter as a positive</v>
      </c>
      <c r="D147" s="144"/>
      <c r="E147" s="338">
        <f>'Unit Data from Audit Worksheet'!F164</f>
        <v>0</v>
      </c>
      <c r="F147" s="331">
        <f t="shared" si="18"/>
        <v>0</v>
      </c>
      <c r="G147" s="333"/>
      <c r="H147" s="330">
        <f>'Unit Data from Audit Worksheet'!I164</f>
        <v>0</v>
      </c>
      <c r="I147" s="38"/>
      <c r="J147" s="329">
        <v>643</v>
      </c>
      <c r="K147" s="328" t="s">
        <v>462</v>
      </c>
      <c r="L147" s="445">
        <f t="shared" si="17"/>
        <v>0</v>
      </c>
      <c r="P147" s="300"/>
      <c r="Q147" s="421"/>
      <c r="R147" s="3"/>
      <c r="W147" s="18" t="b">
        <f t="shared" si="15"/>
        <v>1</v>
      </c>
      <c r="X147" s="437">
        <f t="shared" si="12"/>
        <v>0</v>
      </c>
      <c r="Y147" s="437">
        <f t="shared" si="13"/>
        <v>0</v>
      </c>
    </row>
    <row r="148" spans="1:25" s="18" customFormat="1" ht="102" customHeight="1" x14ac:dyDescent="0.3">
      <c r="A148" s="318">
        <f>'Unit Data from Audit Worksheet'!A165</f>
        <v>644</v>
      </c>
      <c r="B148" s="332" t="str">
        <f>'Unit Data from Audit Worksheet'!C165</f>
        <v>Electric Fund Net Position Statement</v>
      </c>
      <c r="C148" s="317"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38">
        <f>'Unit Data from Audit Worksheet'!F165</f>
        <v>0</v>
      </c>
      <c r="F148" s="331">
        <f t="shared" si="18"/>
        <v>0</v>
      </c>
      <c r="G148" s="333"/>
      <c r="H148" s="330">
        <f>'Unit Data from Audit Worksheet'!I165</f>
        <v>0</v>
      </c>
      <c r="I148" s="38"/>
      <c r="J148" s="273">
        <v>644</v>
      </c>
      <c r="K148" s="328" t="s">
        <v>463</v>
      </c>
      <c r="L148" s="445">
        <f t="shared" si="17"/>
        <v>0</v>
      </c>
      <c r="P148" s="303"/>
      <c r="Q148" s="421"/>
      <c r="R148" s="3"/>
      <c r="W148" s="18" t="b">
        <f t="shared" si="15"/>
        <v>1</v>
      </c>
      <c r="X148" s="437">
        <f t="shared" si="12"/>
        <v>0</v>
      </c>
      <c r="Y148" s="437">
        <f t="shared" si="13"/>
        <v>0</v>
      </c>
    </row>
    <row r="149" spans="1:25" ht="63.75" customHeight="1" x14ac:dyDescent="0.3">
      <c r="A149" s="318">
        <f>+'Unit Data from Audit Worksheet'!A166</f>
        <v>384</v>
      </c>
      <c r="B149" s="318" t="str">
        <f>+'Unit Data from Audit Worksheet'!C166</f>
        <v>Electric Fund Net Position Statement</v>
      </c>
      <c r="C149" s="318" t="str">
        <f>+'Unit Data from Audit Worksheet'!D166</f>
        <v>Unearned revenue (arising from cash receipts) that were included in Current Liabilities in account 639 above.
Enter as a positive</v>
      </c>
      <c r="D149" s="144"/>
      <c r="E149" s="338">
        <f>+'Unit Data from Audit Worksheet'!F166</f>
        <v>0</v>
      </c>
      <c r="F149" s="331">
        <f t="shared" si="18"/>
        <v>0</v>
      </c>
      <c r="G149" s="333"/>
      <c r="H149" s="330">
        <f>'Unit Data from Audit Worksheet'!I166</f>
        <v>0</v>
      </c>
      <c r="I149" s="38"/>
      <c r="J149" s="329">
        <v>384</v>
      </c>
      <c r="K149" s="58" t="s">
        <v>124</v>
      </c>
      <c r="L149" s="431">
        <f t="shared" si="17"/>
        <v>0</v>
      </c>
      <c r="P149" s="300"/>
      <c r="W149" s="3" t="b">
        <f t="shared" si="15"/>
        <v>1</v>
      </c>
      <c r="X149" s="428">
        <f t="shared" si="12"/>
        <v>0</v>
      </c>
      <c r="Y149" s="428">
        <f t="shared" si="13"/>
        <v>0</v>
      </c>
    </row>
    <row r="150" spans="1:25" ht="86.4" x14ac:dyDescent="0.3">
      <c r="A150" s="318">
        <f>+'Unit Data from Audit Worksheet'!A167</f>
        <v>361</v>
      </c>
      <c r="B150" s="318" t="str">
        <f>+'Unit Data from Audit Worksheet'!C167</f>
        <v>Electric Fund Net Position Statement</v>
      </c>
      <c r="C150" s="318" t="str">
        <f>+'Unit Data from Audit Worksheet'!D167</f>
        <v>Total net position, unrestricted - Amount of negative unrestricted net position should be entered as a negative amount and the amount of positive unrestricted net position should be entered as a positive amount.</v>
      </c>
      <c r="D150" s="144"/>
      <c r="E150" s="338">
        <f>+'Unit Data from Audit Worksheet'!F167</f>
        <v>0</v>
      </c>
      <c r="F150" s="331"/>
      <c r="G150" s="333"/>
      <c r="H150" s="330">
        <f>'Unit Data from Audit Worksheet'!I167</f>
        <v>0</v>
      </c>
      <c r="I150" s="38"/>
      <c r="J150" s="329">
        <v>361</v>
      </c>
      <c r="K150" s="328" t="s">
        <v>106</v>
      </c>
      <c r="L150" s="431">
        <f t="shared" si="17"/>
        <v>0</v>
      </c>
      <c r="P150" s="300"/>
      <c r="W150" s="3" t="b">
        <f t="shared" si="15"/>
        <v>1</v>
      </c>
      <c r="X150" s="428">
        <f t="shared" si="12"/>
        <v>0</v>
      </c>
      <c r="Y150" s="428">
        <f t="shared" si="13"/>
        <v>0</v>
      </c>
    </row>
    <row r="151" spans="1:25" ht="46.5" customHeight="1" x14ac:dyDescent="0.3">
      <c r="A151" s="318">
        <f>'Unit Data from Audit Worksheet'!A168</f>
        <v>362</v>
      </c>
      <c r="B151" s="332" t="str">
        <f>'Unit Data from Audit Worksheet'!C168</f>
        <v>Electric Fund Net Position Statement</v>
      </c>
      <c r="C151" s="317" t="str">
        <f>'Unit Data from Audit Worksheet'!D168</f>
        <v>Total net position</v>
      </c>
      <c r="D151" s="144"/>
      <c r="E151" s="338">
        <f>'Unit Data from Audit Worksheet'!F168</f>
        <v>0</v>
      </c>
      <c r="F151" s="331">
        <f>IF(L140-L141-L151=0,,"Error: Total assets less total liabilities do not equal net position acct 382-360-362=0")</f>
        <v>0</v>
      </c>
      <c r="G151" s="91">
        <f>+L140-L141-L151</f>
        <v>0</v>
      </c>
      <c r="H151" s="330">
        <f>'Unit Data from Audit Worksheet'!I168</f>
        <v>0</v>
      </c>
      <c r="I151" s="38"/>
      <c r="J151" s="329">
        <v>362</v>
      </c>
      <c r="K151" s="328" t="s">
        <v>107</v>
      </c>
      <c r="L151" s="431">
        <f t="shared" si="17"/>
        <v>0</v>
      </c>
      <c r="O151" s="439" t="e">
        <f>'Unit Data from Audit Worksheet'!E168</f>
        <v>#N/A</v>
      </c>
      <c r="P151" s="300"/>
      <c r="Q151" s="421">
        <f>IF(+L140-L141-L151=0,0,1)</f>
        <v>0</v>
      </c>
      <c r="W151" s="3" t="b">
        <f t="shared" si="15"/>
        <v>1</v>
      </c>
      <c r="X151" s="428">
        <f t="shared" si="12"/>
        <v>0</v>
      </c>
      <c r="Y151" s="428">
        <f t="shared" si="13"/>
        <v>0</v>
      </c>
    </row>
    <row r="152" spans="1:25" ht="61.5" customHeight="1" x14ac:dyDescent="0.3">
      <c r="A152" s="318">
        <f>'Unit Data from Audit Worksheet'!A171</f>
        <v>88</v>
      </c>
      <c r="B152" s="332" t="str">
        <f>'Unit Data from Audit Worksheet'!C171</f>
        <v>Water Sewer Revenue, Expenses &amp; Changes in Fund Net Position</v>
      </c>
      <c r="C152" s="317" t="str">
        <f>'Unit Data from Audit Worksheet'!D171</f>
        <v>Charges for services. 
Exclude tap, capacity fees and other misc. income .</v>
      </c>
      <c r="D152" s="144"/>
      <c r="E152" s="338">
        <f>'Unit Data from Audit Worksheet'!F171</f>
        <v>0</v>
      </c>
      <c r="F152" s="331"/>
      <c r="G152" s="333"/>
      <c r="H152" s="330">
        <f>'Unit Data from Audit Worksheet'!I171</f>
        <v>0</v>
      </c>
      <c r="I152" s="38"/>
      <c r="J152" s="329">
        <v>88</v>
      </c>
      <c r="K152" s="328" t="s">
        <v>225</v>
      </c>
      <c r="L152" s="431">
        <f t="shared" si="17"/>
        <v>0</v>
      </c>
      <c r="P152" s="300"/>
      <c r="Q152" s="334"/>
      <c r="W152" s="3" t="b">
        <f t="shared" si="15"/>
        <v>1</v>
      </c>
      <c r="X152" s="428">
        <f t="shared" si="12"/>
        <v>0</v>
      </c>
      <c r="Y152" s="428">
        <f t="shared" si="13"/>
        <v>0</v>
      </c>
    </row>
    <row r="153" spans="1:25" ht="72" customHeight="1" x14ac:dyDescent="0.3">
      <c r="A153" s="318">
        <f>'Unit Data from Audit Worksheet'!A172</f>
        <v>84</v>
      </c>
      <c r="B153" s="332" t="str">
        <f>'Unit Data from Audit Worksheet'!C172</f>
        <v>Water Sewer Revenue, Expenses &amp; Changes in Fund Net Position</v>
      </c>
      <c r="C153" s="317" t="str">
        <f>'Unit Data from Audit Worksheet'!D172</f>
        <v>Total Operating revenues</v>
      </c>
      <c r="D153" s="144"/>
      <c r="E153" s="338">
        <f>'Unit Data from Audit Worksheet'!F172</f>
        <v>0</v>
      </c>
      <c r="F153" s="331" t="str">
        <f>IF(L152&gt;L153,"Error: Charges for services exceed total operating revenues. Acct # 88&gt;84"," ")</f>
        <v xml:space="preserve"> </v>
      </c>
      <c r="G153" s="333" t="str">
        <f>IF(Q153=1," Included in error count"," ")</f>
        <v xml:space="preserve"> </v>
      </c>
      <c r="H153" s="330">
        <f>'Unit Data from Audit Worksheet'!I172</f>
        <v>0</v>
      </c>
      <c r="I153" s="38"/>
      <c r="J153" s="329">
        <v>84</v>
      </c>
      <c r="K153" s="328" t="s">
        <v>226</v>
      </c>
      <c r="L153" s="431">
        <f t="shared" si="17"/>
        <v>0</v>
      </c>
      <c r="P153" s="300"/>
      <c r="Q153" s="421">
        <f>IF(L152&gt;L153,1,0)</f>
        <v>0</v>
      </c>
      <c r="W153" s="3" t="b">
        <f t="shared" si="15"/>
        <v>1</v>
      </c>
      <c r="X153" s="428">
        <f t="shared" si="12"/>
        <v>0</v>
      </c>
      <c r="Y153" s="428">
        <f t="shared" si="13"/>
        <v>0</v>
      </c>
    </row>
    <row r="154" spans="1:25" ht="72" customHeight="1" x14ac:dyDescent="0.3">
      <c r="A154" s="318">
        <f>'Unit Data from Audit Worksheet'!A173</f>
        <v>49</v>
      </c>
      <c r="B154" s="332" t="str">
        <f>'Unit Data from Audit Worksheet'!C173</f>
        <v>Water Sewer Revenue, Expenses &amp; Changes in Fund Net Position</v>
      </c>
      <c r="C154" s="317" t="str">
        <f>'Unit Data from Audit Worksheet'!D173</f>
        <v>Depreciation and amortization expense</v>
      </c>
      <c r="D154" s="144"/>
      <c r="E154" s="338">
        <f>'Unit Data from Audit Worksheet'!F173</f>
        <v>0</v>
      </c>
      <c r="F154" s="331">
        <f>IF(L154&lt;0,"Error: Number is normally positive.",)</f>
        <v>0</v>
      </c>
      <c r="G154" s="333"/>
      <c r="H154" s="330">
        <f>'Unit Data from Audit Worksheet'!I173</f>
        <v>0</v>
      </c>
      <c r="I154" s="38"/>
      <c r="J154" s="329">
        <v>49</v>
      </c>
      <c r="K154" s="328" t="s">
        <v>227</v>
      </c>
      <c r="L154" s="431">
        <f t="shared" si="17"/>
        <v>0</v>
      </c>
      <c r="O154" s="439"/>
      <c r="P154" s="300"/>
      <c r="W154" s="3" t="b">
        <f t="shared" si="15"/>
        <v>1</v>
      </c>
      <c r="X154" s="428">
        <f t="shared" si="12"/>
        <v>0</v>
      </c>
      <c r="Y154" s="428">
        <f t="shared" si="13"/>
        <v>0</v>
      </c>
    </row>
    <row r="155" spans="1:25" ht="48" customHeight="1" x14ac:dyDescent="0.3">
      <c r="A155" s="318">
        <f>'Unit Data from Audit Worksheet'!A174</f>
        <v>85</v>
      </c>
      <c r="B155" s="332" t="str">
        <f>'Unit Data from Audit Worksheet'!C174</f>
        <v>Water Sewer Revenue, Expenses &amp; Changes in Fund Net Position</v>
      </c>
      <c r="C155" s="317" t="str">
        <f>'Unit Data from Audit Worksheet'!D174</f>
        <v>Total Operating expenses</v>
      </c>
      <c r="D155" s="144"/>
      <c r="E155" s="338">
        <f>'Unit Data from Audit Worksheet'!F174</f>
        <v>0</v>
      </c>
      <c r="F155" s="331"/>
      <c r="G155" s="333"/>
      <c r="H155" s="330">
        <f>'Unit Data from Audit Worksheet'!I174</f>
        <v>0</v>
      </c>
      <c r="I155" s="38"/>
      <c r="J155" s="329">
        <v>85</v>
      </c>
      <c r="K155" s="328" t="s">
        <v>228</v>
      </c>
      <c r="L155" s="431">
        <f t="shared" si="17"/>
        <v>0</v>
      </c>
      <c r="P155" s="300"/>
      <c r="W155" s="3" t="b">
        <f t="shared" si="15"/>
        <v>1</v>
      </c>
      <c r="X155" s="428">
        <f t="shared" si="12"/>
        <v>0</v>
      </c>
      <c r="Y155" s="428">
        <f t="shared" si="13"/>
        <v>0</v>
      </c>
    </row>
    <row r="156" spans="1:25" ht="48" customHeight="1" x14ac:dyDescent="0.3">
      <c r="A156" s="318">
        <f>'Unit Data from Audit Worksheet'!A175</f>
        <v>89</v>
      </c>
      <c r="B156" s="332" t="str">
        <f>'Unit Data from Audit Worksheet'!C175</f>
        <v>Water Sewer Revenue, Expenses &amp; Changes in Fund Net Position</v>
      </c>
      <c r="C156" s="317" t="str">
        <f>'Unit Data from Audit Worksheet'!D175</f>
        <v>Interest expense</v>
      </c>
      <c r="D156" s="144"/>
      <c r="E156" s="338">
        <f>'Unit Data from Audit Worksheet'!F175</f>
        <v>0</v>
      </c>
      <c r="F156" s="331"/>
      <c r="G156" s="333"/>
      <c r="H156" s="330">
        <f>'Unit Data from Audit Worksheet'!I175</f>
        <v>0</v>
      </c>
      <c r="I156" s="38"/>
      <c r="J156" s="329">
        <v>89</v>
      </c>
      <c r="K156" s="328" t="s">
        <v>229</v>
      </c>
      <c r="L156" s="431">
        <f t="shared" si="17"/>
        <v>0</v>
      </c>
      <c r="P156" s="300"/>
      <c r="W156" s="3" t="b">
        <f t="shared" si="15"/>
        <v>1</v>
      </c>
      <c r="X156" s="428">
        <f t="shared" si="12"/>
        <v>0</v>
      </c>
      <c r="Y156" s="428">
        <f t="shared" si="13"/>
        <v>0</v>
      </c>
    </row>
    <row r="157" spans="1:25" ht="48" customHeight="1" x14ac:dyDescent="0.3">
      <c r="A157" s="318">
        <f>'Unit Data from Audit Worksheet'!A176</f>
        <v>350</v>
      </c>
      <c r="B157" s="332" t="str">
        <f>'Unit Data from Audit Worksheet'!C176</f>
        <v>Water Sewer Revenue, Expenses &amp; Changes in Fund Net Position</v>
      </c>
      <c r="C157" s="317" t="str">
        <f>'Unit Data from Audit Worksheet'!D176</f>
        <v>Total all non-operating revenues  
Exclude Capital contributions.</v>
      </c>
      <c r="D157" s="144"/>
      <c r="E157" s="338">
        <f>'Unit Data from Audit Worksheet'!F176</f>
        <v>0</v>
      </c>
      <c r="F157" s="331"/>
      <c r="G157" s="333"/>
      <c r="H157" s="330">
        <f>'Unit Data from Audit Worksheet'!I176</f>
        <v>0</v>
      </c>
      <c r="I157" s="38"/>
      <c r="J157" s="329">
        <v>350</v>
      </c>
      <c r="K157" s="328" t="s">
        <v>230</v>
      </c>
      <c r="L157" s="431">
        <f t="shared" si="17"/>
        <v>0</v>
      </c>
      <c r="P157" s="300"/>
      <c r="W157" s="3" t="b">
        <f t="shared" si="15"/>
        <v>1</v>
      </c>
      <c r="X157" s="428">
        <f t="shared" si="12"/>
        <v>0</v>
      </c>
      <c r="Y157" s="428">
        <f t="shared" si="13"/>
        <v>0</v>
      </c>
    </row>
    <row r="158" spans="1:25" ht="48" customHeight="1" x14ac:dyDescent="0.3">
      <c r="A158" s="318">
        <f>'Unit Data from Audit Worksheet'!A177</f>
        <v>351</v>
      </c>
      <c r="B158" s="332" t="str">
        <f>'Unit Data from Audit Worksheet'!C177</f>
        <v>Water Sewer Revenue, Expenses &amp; Changes in Fund Net Position</v>
      </c>
      <c r="C158" s="317" t="str">
        <f>'Unit Data from Audit Worksheet'!D177</f>
        <v>Total all non-operating expenses.  
Include any negative special, extraordinary, or capital contribution.</v>
      </c>
      <c r="D158" s="144"/>
      <c r="E158" s="338">
        <f>'Unit Data from Audit Worksheet'!F177</f>
        <v>0</v>
      </c>
      <c r="F158" s="331"/>
      <c r="G158" s="333"/>
      <c r="H158" s="330">
        <f>'Unit Data from Audit Worksheet'!I177</f>
        <v>0</v>
      </c>
      <c r="I158" s="38"/>
      <c r="J158" s="329">
        <v>351</v>
      </c>
      <c r="K158" s="328" t="s">
        <v>231</v>
      </c>
      <c r="L158" s="431">
        <f t="shared" si="17"/>
        <v>0</v>
      </c>
      <c r="P158" s="300"/>
      <c r="W158" s="3" t="b">
        <f t="shared" si="15"/>
        <v>1</v>
      </c>
      <c r="X158" s="428">
        <f t="shared" si="12"/>
        <v>0</v>
      </c>
      <c r="Y158" s="428">
        <f t="shared" si="13"/>
        <v>0</v>
      </c>
    </row>
    <row r="159" spans="1:25" ht="57.6" x14ac:dyDescent="0.3">
      <c r="A159" s="318">
        <f>'Unit Data from Audit Worksheet'!A178</f>
        <v>191</v>
      </c>
      <c r="B159" s="332" t="str">
        <f>'Unit Data from Audit Worksheet'!C178</f>
        <v>Water Sewer Revenue, Expenses &amp; Changes in Fund Net Position</v>
      </c>
      <c r="C159" s="317" t="str">
        <f>'Unit Data from Audit Worksheet'!D178</f>
        <v>Capital contributions. Only include positive capital contributions.  Negative capital contributions should be included with 'Total all non-operating expenses.'</v>
      </c>
      <c r="D159" s="144"/>
      <c r="E159" s="338">
        <f>'Unit Data from Audit Worksheet'!F178</f>
        <v>0</v>
      </c>
      <c r="F159" s="331">
        <f>IF(L159&lt;0,"Error: Enter as a positive.",)</f>
        <v>0</v>
      </c>
      <c r="G159" s="333"/>
      <c r="H159" s="330">
        <f>'Unit Data from Audit Worksheet'!I178</f>
        <v>0</v>
      </c>
      <c r="I159" s="38"/>
      <c r="J159" s="329">
        <v>191</v>
      </c>
      <c r="K159" s="328" t="s">
        <v>232</v>
      </c>
      <c r="L159" s="431">
        <f t="shared" si="17"/>
        <v>0</v>
      </c>
      <c r="P159" s="300"/>
      <c r="W159" s="3" t="b">
        <f t="shared" si="15"/>
        <v>1</v>
      </c>
      <c r="X159" s="428">
        <f t="shared" si="12"/>
        <v>0</v>
      </c>
      <c r="Y159" s="428">
        <f t="shared" si="13"/>
        <v>0</v>
      </c>
    </row>
    <row r="160" spans="1:25" ht="47.25" customHeight="1" x14ac:dyDescent="0.3">
      <c r="A160" s="318">
        <f>'Unit Data from Audit Worksheet'!A179</f>
        <v>352</v>
      </c>
      <c r="B160" s="332" t="str">
        <f>'Unit Data from Audit Worksheet'!C179</f>
        <v>Water Sewer Revenue, Expenses &amp; Changes in Fund Net Position</v>
      </c>
      <c r="C160" s="317" t="str">
        <f>'Unit Data from Audit Worksheet'!D179</f>
        <v>Total Transfers in - all funds (operating and capital)</v>
      </c>
      <c r="D160" s="144"/>
      <c r="E160" s="338">
        <f>'Unit Data from Audit Worksheet'!F179</f>
        <v>0</v>
      </c>
      <c r="F160" s="331"/>
      <c r="G160" s="333"/>
      <c r="H160" s="330">
        <f>'Unit Data from Audit Worksheet'!I179</f>
        <v>0</v>
      </c>
      <c r="I160" s="38"/>
      <c r="J160" s="329">
        <v>352</v>
      </c>
      <c r="K160" s="328" t="s">
        <v>233</v>
      </c>
      <c r="L160" s="431">
        <f t="shared" si="17"/>
        <v>0</v>
      </c>
      <c r="P160" s="300"/>
      <c r="W160" s="3" t="b">
        <f t="shared" si="15"/>
        <v>1</v>
      </c>
      <c r="X160" s="428">
        <f t="shared" si="12"/>
        <v>0</v>
      </c>
      <c r="Y160" s="428">
        <f t="shared" si="13"/>
        <v>0</v>
      </c>
    </row>
    <row r="161" spans="1:25" ht="70.5" customHeight="1" x14ac:dyDescent="0.3">
      <c r="A161" s="447">
        <f>'Unit Data from Audit Worksheet'!A180</f>
        <v>986</v>
      </c>
      <c r="B161" s="336" t="str">
        <f>'Unit Data from Audit Worksheet'!C180</f>
        <v>Water Sewer Revenue, Expenses &amp; Changes in Fund Net Position</v>
      </c>
      <c r="C161" s="448" t="str">
        <f>'Unit Data from Audit Worksheet'!D180</f>
        <v>Of the transfers-in above in acct # 352, list amount of transfers-in that were used to support Water Sewer operations  (exclude capital transfers)</v>
      </c>
      <c r="D161" s="144"/>
      <c r="E161" s="338">
        <f>'Unit Data from Audit Worksheet'!F180</f>
        <v>0</v>
      </c>
      <c r="F161" s="331"/>
      <c r="G161" s="333"/>
      <c r="H161" s="330"/>
      <c r="I161" s="38"/>
      <c r="J161" s="347">
        <v>986</v>
      </c>
      <c r="K161" s="448" t="s">
        <v>635</v>
      </c>
      <c r="L161" s="449">
        <f t="shared" si="17"/>
        <v>0</v>
      </c>
      <c r="P161" s="300"/>
      <c r="W161" s="3" t="b">
        <f t="shared" si="15"/>
        <v>1</v>
      </c>
      <c r="X161" s="428"/>
      <c r="Y161" s="428"/>
    </row>
    <row r="162" spans="1:25" ht="47.25" customHeight="1" x14ac:dyDescent="0.3">
      <c r="A162" s="318">
        <f>'Unit Data from Audit Worksheet'!A181</f>
        <v>353</v>
      </c>
      <c r="B162" s="332" t="str">
        <f>'Unit Data from Audit Worksheet'!C181</f>
        <v>Water Sewer Revenue, Expenses &amp; Changes in Fund Net Position</v>
      </c>
      <c r="C162" s="317" t="str">
        <f>'Unit Data from Audit Worksheet'!D181</f>
        <v>Total Transfers out</v>
      </c>
      <c r="D162" s="144"/>
      <c r="E162" s="338">
        <f>'Unit Data from Audit Worksheet'!F181</f>
        <v>0</v>
      </c>
      <c r="F162" s="331">
        <f>IF(L162&lt;0,"Error: Enter as a positive.",)</f>
        <v>0</v>
      </c>
      <c r="G162" s="333"/>
      <c r="H162" s="330">
        <f>'Unit Data from Audit Worksheet'!I181</f>
        <v>0</v>
      </c>
      <c r="I162" s="38"/>
      <c r="J162" s="40">
        <v>353</v>
      </c>
      <c r="K162" s="328" t="s">
        <v>234</v>
      </c>
      <c r="L162" s="431">
        <f t="shared" si="17"/>
        <v>0</v>
      </c>
      <c r="P162" s="304"/>
      <c r="W162" s="3" t="b">
        <f t="shared" si="15"/>
        <v>1</v>
      </c>
      <c r="X162" s="428">
        <f t="shared" si="12"/>
        <v>0</v>
      </c>
      <c r="Y162" s="428">
        <f t="shared" si="13"/>
        <v>0</v>
      </c>
    </row>
    <row r="163" spans="1:25" ht="72.75" customHeight="1" x14ac:dyDescent="0.3">
      <c r="A163" s="318">
        <f>'Unit Data from Audit Worksheet'!A182</f>
        <v>50</v>
      </c>
      <c r="B163" s="332" t="str">
        <f>'Unit Data from Audit Worksheet'!C182</f>
        <v>Water Sewer Revenue, Expenses &amp; Changes in Fund Net Position</v>
      </c>
      <c r="C163" s="317" t="str">
        <f>'Unit Data from Audit Worksheet'!D182</f>
        <v>Change in net position - Increase in net position is recorded as a positive and a (Decrease) in net position is recorded as a negative.</v>
      </c>
      <c r="D163" s="144"/>
      <c r="E163" s="149">
        <f>'Unit Data from Audit Worksheet'!F182</f>
        <v>0</v>
      </c>
      <c r="F163" s="331">
        <f>IF(L153-L155+L157-L158+L160+L159-L162-L163=0,,"Error:Total revenues less total expenses do not equal total change in net position. Acct # 84-85+350-351+191+352-353-50")</f>
        <v>0</v>
      </c>
      <c r="G163" s="91">
        <f>+L153-L155+L157-L158+L160+L159-L162-L163</f>
        <v>0</v>
      </c>
      <c r="H163" s="330">
        <f>'Unit Data from Audit Worksheet'!I182</f>
        <v>0</v>
      </c>
      <c r="I163" s="38"/>
      <c r="J163" s="329">
        <v>50</v>
      </c>
      <c r="K163" s="328" t="s">
        <v>100</v>
      </c>
      <c r="L163" s="431">
        <f t="shared" si="17"/>
        <v>0</v>
      </c>
      <c r="P163" s="300"/>
      <c r="Q163" s="421">
        <f>IF(G163&lt;&gt;0,1,0)</f>
        <v>0</v>
      </c>
      <c r="W163" s="3" t="b">
        <f t="shared" si="15"/>
        <v>1</v>
      </c>
      <c r="X163" s="428">
        <f t="shared" si="12"/>
        <v>0</v>
      </c>
      <c r="Y163" s="428">
        <f t="shared" si="13"/>
        <v>0</v>
      </c>
    </row>
    <row r="164" spans="1:25" ht="144" customHeight="1" x14ac:dyDescent="0.3">
      <c r="A164" s="318">
        <f>'Unit Data from Audit Worksheet'!A183</f>
        <v>377</v>
      </c>
      <c r="B164" s="332" t="str">
        <f>'Unit Data from Audit Worksheet'!C183</f>
        <v>Water Sewer Revenue, Expenses &amp; Changes in Fund Net Position</v>
      </c>
      <c r="C164" s="317"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30">
        <f>'Unit Data from Audit Worksheet'!I183</f>
        <v>0</v>
      </c>
      <c r="I164" s="38"/>
      <c r="J164" s="329">
        <v>377</v>
      </c>
      <c r="K164" s="328" t="s">
        <v>109</v>
      </c>
      <c r="L164" s="431">
        <f t="shared" si="17"/>
        <v>0</v>
      </c>
      <c r="P164" s="300"/>
      <c r="Q164" s="421" t="e">
        <f>IF(G164&lt;&gt;0,1,0)</f>
        <v>#N/A</v>
      </c>
      <c r="W164" s="3" t="b">
        <f t="shared" si="15"/>
        <v>1</v>
      </c>
      <c r="X164" s="428">
        <f t="shared" si="12"/>
        <v>0</v>
      </c>
      <c r="Y164" s="428">
        <f t="shared" si="13"/>
        <v>0</v>
      </c>
    </row>
    <row r="165" spans="1:25" ht="63" customHeight="1" x14ac:dyDescent="0.3">
      <c r="A165" s="456">
        <f>'Unit Data from Audit Worksheet'!A184</f>
        <v>537</v>
      </c>
      <c r="B165" s="332" t="str">
        <f>'Unit Data from Audit Worksheet'!C184</f>
        <v>Water Sewer Revenue, Expenses &amp; Changes in Fund Net Position</v>
      </c>
      <c r="C165" s="317" t="str">
        <f>'Unit Data from Audit Worksheet'!D184</f>
        <v>Did unit raise Water Sewer rates during the audited fiscal period? - answer Yes or No</v>
      </c>
      <c r="D165" s="139"/>
      <c r="E165" s="338">
        <f>'Unit Data from Audit Worksheet'!F184</f>
        <v>0</v>
      </c>
      <c r="F165" s="331" t="s">
        <v>342</v>
      </c>
      <c r="G165" s="333"/>
      <c r="H165" s="330">
        <f>'Unit Data from Audit Worksheet'!I184</f>
        <v>0</v>
      </c>
      <c r="I165" s="38"/>
      <c r="J165" s="67">
        <v>537</v>
      </c>
      <c r="K165" s="65" t="s">
        <v>290</v>
      </c>
      <c r="L165" s="457">
        <f>IF(E165="Yes",1,IF(E165="No",2,0))</f>
        <v>0</v>
      </c>
      <c r="N165" s="61" t="s">
        <v>332</v>
      </c>
      <c r="P165" s="305"/>
      <c r="W165" s="3" t="b">
        <f t="shared" ref="W165:W196" si="19">EXACT(A165,J165)</f>
        <v>1</v>
      </c>
      <c r="X165" s="428">
        <f t="shared" si="12"/>
        <v>0</v>
      </c>
      <c r="Y165" s="428">
        <f t="shared" si="13"/>
        <v>0</v>
      </c>
    </row>
    <row r="166" spans="1:25" ht="63.75" customHeight="1" x14ac:dyDescent="0.3">
      <c r="A166" s="456">
        <f>'Unit Data from Audit Worksheet'!A185</f>
        <v>538</v>
      </c>
      <c r="B166" s="332" t="str">
        <f>'Unit Data from Audit Worksheet'!C185</f>
        <v>Water Sewer Revenue, Expenses &amp; Changes in Fund Net Position</v>
      </c>
      <c r="C166" s="317" t="str">
        <f>'Unit Data from Audit Worksheet'!D185</f>
        <v>Did unit raise Water Sewer rates during the budget year following the audited fiscal year? - answer Yes or No</v>
      </c>
      <c r="D166" s="139"/>
      <c r="E166" s="338">
        <f>'Unit Data from Audit Worksheet'!F185</f>
        <v>0</v>
      </c>
      <c r="F166" s="331" t="s">
        <v>342</v>
      </c>
      <c r="G166" s="333"/>
      <c r="H166" s="330">
        <f>'Unit Data from Audit Worksheet'!I185</f>
        <v>0</v>
      </c>
      <c r="I166" s="38"/>
      <c r="J166" s="67">
        <v>538</v>
      </c>
      <c r="K166" s="65" t="s">
        <v>289</v>
      </c>
      <c r="L166" s="457">
        <f>IF(E166="Yes",1,IF(E166="No",2,0))</f>
        <v>0</v>
      </c>
      <c r="N166" s="61" t="s">
        <v>332</v>
      </c>
      <c r="P166" s="305"/>
      <c r="W166" s="3" t="b">
        <f t="shared" si="19"/>
        <v>1</v>
      </c>
      <c r="X166" s="428">
        <f t="shared" si="12"/>
        <v>0</v>
      </c>
      <c r="Y166" s="428">
        <f t="shared" si="13"/>
        <v>0</v>
      </c>
    </row>
    <row r="167" spans="1:25" ht="47.25" customHeight="1" x14ac:dyDescent="0.3">
      <c r="A167" s="318">
        <f>'Unit Data from Audit Worksheet'!A187</f>
        <v>97</v>
      </c>
      <c r="B167" s="332" t="str">
        <f>'Unit Data from Audit Worksheet'!C187</f>
        <v>Electric Fund Revenue, Expenses &amp; Changes in Fund Net Position</v>
      </c>
      <c r="C167" s="317" t="str">
        <f>'Unit Data from Audit Worksheet'!D187</f>
        <v>Charges for services</v>
      </c>
      <c r="D167" s="337"/>
      <c r="E167" s="338">
        <f>'Unit Data from Audit Worksheet'!F187</f>
        <v>0</v>
      </c>
      <c r="F167" s="331">
        <f>IF(L167&lt;0,"Error: Enter as a positive.",)</f>
        <v>0</v>
      </c>
      <c r="G167" s="333"/>
      <c r="H167" s="330">
        <f>'Unit Data from Audit Worksheet'!I187</f>
        <v>0</v>
      </c>
      <c r="I167" s="38"/>
      <c r="J167" s="329">
        <v>97</v>
      </c>
      <c r="K167" s="328" t="s">
        <v>235</v>
      </c>
      <c r="L167" s="431">
        <f t="shared" ref="L167:L234" si="20">IF(D167="",E167,D167)</f>
        <v>0</v>
      </c>
      <c r="P167" s="300"/>
      <c r="W167" s="3" t="b">
        <f t="shared" si="19"/>
        <v>1</v>
      </c>
      <c r="X167" s="428">
        <f t="shared" si="12"/>
        <v>0</v>
      </c>
      <c r="Y167" s="428">
        <f t="shared" si="13"/>
        <v>0</v>
      </c>
    </row>
    <row r="168" spans="1:25" ht="45.75" customHeight="1" x14ac:dyDescent="0.3">
      <c r="A168" s="318">
        <f>'Unit Data from Audit Worksheet'!A188</f>
        <v>93</v>
      </c>
      <c r="B168" s="332" t="str">
        <f>'Unit Data from Audit Worksheet'!C188</f>
        <v>Electric Fund Revenue, Expenses &amp; Changes in Fund Net Position</v>
      </c>
      <c r="C168" s="317" t="str">
        <f>'Unit Data from Audit Worksheet'!D188</f>
        <v>Total Operating revenues</v>
      </c>
      <c r="D168" s="337"/>
      <c r="E168" s="338">
        <f>'Unit Data from Audit Worksheet'!F188</f>
        <v>0</v>
      </c>
      <c r="F168" s="331" t="str">
        <f>IF(L167&gt;L168,"Error: Charges for services exceeds total operating revenues Acct 97&gt;=93"," ")</f>
        <v xml:space="preserve"> </v>
      </c>
      <c r="G168" s="333" t="str">
        <f>IF(Q168=1," Included in error count"," ")</f>
        <v xml:space="preserve"> </v>
      </c>
      <c r="H168" s="330">
        <f>'Unit Data from Audit Worksheet'!I188</f>
        <v>0</v>
      </c>
      <c r="I168" s="38"/>
      <c r="J168" s="329">
        <v>93</v>
      </c>
      <c r="K168" s="328" t="s">
        <v>236</v>
      </c>
      <c r="L168" s="431">
        <f t="shared" si="20"/>
        <v>0</v>
      </c>
      <c r="P168" s="300"/>
      <c r="Q168" s="421">
        <f>IF(L167&gt;L168,1,0)</f>
        <v>0</v>
      </c>
      <c r="W168" s="3" t="b">
        <f t="shared" si="19"/>
        <v>1</v>
      </c>
      <c r="X168" s="428">
        <f t="shared" si="12"/>
        <v>0</v>
      </c>
      <c r="Y168" s="428">
        <f t="shared" si="13"/>
        <v>0</v>
      </c>
    </row>
    <row r="169" spans="1:25" ht="45.75" customHeight="1" x14ac:dyDescent="0.3">
      <c r="A169" s="318">
        <f>'Unit Data from Audit Worksheet'!A189</f>
        <v>99</v>
      </c>
      <c r="B169" s="332" t="str">
        <f>'Unit Data from Audit Worksheet'!C189</f>
        <v>Electric Fund Revenue, Expenses &amp; Changes in Fund Net Position</v>
      </c>
      <c r="C169" s="317" t="str">
        <f>'Unit Data from Audit Worksheet'!D189</f>
        <v>Electrical power purchases</v>
      </c>
      <c r="D169" s="337"/>
      <c r="E169" s="338">
        <f>'Unit Data from Audit Worksheet'!F189</f>
        <v>0</v>
      </c>
      <c r="F169" s="331">
        <f>IF(L169&lt;0,"Error: Enter as a positive.",)</f>
        <v>0</v>
      </c>
      <c r="G169" s="333"/>
      <c r="H169" s="330">
        <f>'Unit Data from Audit Worksheet'!I189</f>
        <v>0</v>
      </c>
      <c r="I169" s="38"/>
      <c r="J169" s="329">
        <v>99</v>
      </c>
      <c r="K169" s="328" t="s">
        <v>237</v>
      </c>
      <c r="L169" s="431">
        <f t="shared" si="20"/>
        <v>0</v>
      </c>
      <c r="P169" s="300"/>
      <c r="W169" s="3" t="b">
        <f t="shared" si="19"/>
        <v>1</v>
      </c>
      <c r="X169" s="428">
        <f t="shared" si="12"/>
        <v>0</v>
      </c>
      <c r="Y169" s="428">
        <f t="shared" si="13"/>
        <v>0</v>
      </c>
    </row>
    <row r="170" spans="1:25" ht="45.75" customHeight="1" x14ac:dyDescent="0.3">
      <c r="A170" s="318">
        <f>'Unit Data from Audit Worksheet'!A190</f>
        <v>52</v>
      </c>
      <c r="B170" s="332" t="str">
        <f>'Unit Data from Audit Worksheet'!C190</f>
        <v>Electric Fund Revenue, Expenses &amp; Changes in Fund Net Position</v>
      </c>
      <c r="C170" s="317" t="str">
        <f>'Unit Data from Audit Worksheet'!D190</f>
        <v>Depreciation and amortization expense</v>
      </c>
      <c r="D170" s="337"/>
      <c r="E170" s="338">
        <f>'Unit Data from Audit Worksheet'!F190</f>
        <v>0</v>
      </c>
      <c r="F170" s="331">
        <f>IF(L170&lt;0,"Error: Enter as a positive.",)</f>
        <v>0</v>
      </c>
      <c r="G170" s="333"/>
      <c r="H170" s="330">
        <f>'Unit Data from Audit Worksheet'!I190</f>
        <v>0</v>
      </c>
      <c r="I170" s="38"/>
      <c r="J170" s="329">
        <v>52</v>
      </c>
      <c r="K170" s="328" t="s">
        <v>238</v>
      </c>
      <c r="L170" s="431">
        <f t="shared" si="20"/>
        <v>0</v>
      </c>
      <c r="P170" s="300"/>
      <c r="W170" s="3" t="b">
        <f t="shared" si="19"/>
        <v>1</v>
      </c>
      <c r="X170" s="428">
        <f t="shared" si="12"/>
        <v>0</v>
      </c>
      <c r="Y170" s="428">
        <f t="shared" si="13"/>
        <v>0</v>
      </c>
    </row>
    <row r="171" spans="1:25" ht="45.75" customHeight="1" x14ac:dyDescent="0.3">
      <c r="A171" s="318">
        <f>'Unit Data from Audit Worksheet'!A191</f>
        <v>94</v>
      </c>
      <c r="B171" s="332" t="str">
        <f>'Unit Data from Audit Worksheet'!C191</f>
        <v>Electric Fund Revenue, Expenses &amp; Changes in Fund Net Position</v>
      </c>
      <c r="C171" s="317" t="str">
        <f>'Unit Data from Audit Worksheet'!D191</f>
        <v>Total Operating expenses</v>
      </c>
      <c r="D171" s="337"/>
      <c r="E171" s="338">
        <f>'Unit Data from Audit Worksheet'!F191</f>
        <v>0</v>
      </c>
      <c r="F171" s="331">
        <f>IF(L171&lt;0,"Error: Enter as a positive.",)</f>
        <v>0</v>
      </c>
      <c r="G171" s="333"/>
      <c r="H171" s="330">
        <f>'Unit Data from Audit Worksheet'!I191</f>
        <v>0</v>
      </c>
      <c r="I171" s="38"/>
      <c r="J171" s="329">
        <v>94</v>
      </c>
      <c r="K171" s="328" t="s">
        <v>239</v>
      </c>
      <c r="L171" s="431">
        <f t="shared" si="20"/>
        <v>0</v>
      </c>
      <c r="P171" s="300"/>
      <c r="W171" s="3" t="b">
        <f t="shared" si="19"/>
        <v>1</v>
      </c>
      <c r="X171" s="428">
        <f t="shared" si="12"/>
        <v>0</v>
      </c>
      <c r="Y171" s="428">
        <f t="shared" si="13"/>
        <v>0</v>
      </c>
    </row>
    <row r="172" spans="1:25" ht="46.5" customHeight="1" x14ac:dyDescent="0.3">
      <c r="A172" s="318">
        <f>'Unit Data from Audit Worksheet'!A192</f>
        <v>98</v>
      </c>
      <c r="B172" s="332" t="str">
        <f>'Unit Data from Audit Worksheet'!C192</f>
        <v>Electric Fund Revenue, Expenses &amp; Changes in Fund Net Position</v>
      </c>
      <c r="C172" s="317" t="str">
        <f>'Unit Data from Audit Worksheet'!D192</f>
        <v>Interest expense</v>
      </c>
      <c r="D172" s="337"/>
      <c r="E172" s="338">
        <f>'Unit Data from Audit Worksheet'!F192</f>
        <v>0</v>
      </c>
      <c r="F172" s="331">
        <f>IF(L172&lt;0,"Error: Enter as a positive.",)</f>
        <v>0</v>
      </c>
      <c r="G172" s="333"/>
      <c r="H172" s="330">
        <f>'Unit Data from Audit Worksheet'!I192</f>
        <v>0</v>
      </c>
      <c r="I172" s="38"/>
      <c r="J172" s="329">
        <v>98</v>
      </c>
      <c r="K172" s="328" t="s">
        <v>240</v>
      </c>
      <c r="L172" s="431">
        <f t="shared" si="20"/>
        <v>0</v>
      </c>
      <c r="P172" s="300"/>
      <c r="W172" s="3" t="b">
        <f t="shared" si="19"/>
        <v>1</v>
      </c>
      <c r="X172" s="428">
        <f t="shared" si="12"/>
        <v>0</v>
      </c>
      <c r="Y172" s="428">
        <f t="shared" si="13"/>
        <v>0</v>
      </c>
    </row>
    <row r="173" spans="1:25" ht="51" customHeight="1" x14ac:dyDescent="0.3">
      <c r="A173" s="318">
        <f>'Unit Data from Audit Worksheet'!A193</f>
        <v>363</v>
      </c>
      <c r="B173" s="332" t="str">
        <f>'Unit Data from Audit Worksheet'!C193</f>
        <v>Electric Fund Revenue, Expenses &amp; Changes in Fund Net Position</v>
      </c>
      <c r="C173" s="317" t="str">
        <f>'Unit Data from Audit Worksheet'!D193</f>
        <v>Total all the non-operating revenues  
Exclude Capital Contributions.</v>
      </c>
      <c r="D173" s="337"/>
      <c r="E173" s="338">
        <f>'Unit Data from Audit Worksheet'!F193</f>
        <v>0</v>
      </c>
      <c r="F173" s="331"/>
      <c r="G173" s="333"/>
      <c r="H173" s="330">
        <f>'Unit Data from Audit Worksheet'!I193</f>
        <v>0</v>
      </c>
      <c r="I173" s="38"/>
      <c r="J173" s="329">
        <v>363</v>
      </c>
      <c r="K173" s="328" t="s">
        <v>241</v>
      </c>
      <c r="L173" s="431">
        <f t="shared" si="20"/>
        <v>0</v>
      </c>
      <c r="P173" s="300"/>
      <c r="W173" s="3" t="b">
        <f t="shared" si="19"/>
        <v>1</v>
      </c>
      <c r="X173" s="428">
        <f t="shared" si="12"/>
        <v>0</v>
      </c>
      <c r="Y173" s="428">
        <f t="shared" si="13"/>
        <v>0</v>
      </c>
    </row>
    <row r="174" spans="1:25" ht="60" customHeight="1" x14ac:dyDescent="0.3">
      <c r="A174" s="318">
        <f>'Unit Data from Audit Worksheet'!A194</f>
        <v>364</v>
      </c>
      <c r="B174" s="332" t="str">
        <f>'Unit Data from Audit Worksheet'!C194</f>
        <v>Electric Fund Revenue, Expenses &amp; Changes in Fund Net Position</v>
      </c>
      <c r="C174" s="317" t="str">
        <f>'Unit Data from Audit Worksheet'!D194</f>
        <v>Total all non-operating expenses.  
Include negative special, extraordinary, or capital contribution.</v>
      </c>
      <c r="D174" s="337"/>
      <c r="E174" s="338">
        <f>'Unit Data from Audit Worksheet'!F194</f>
        <v>0</v>
      </c>
      <c r="F174" s="331">
        <f>IF(L174&lt;0,"Error: Enter as a positive.",)</f>
        <v>0</v>
      </c>
      <c r="G174" s="333"/>
      <c r="H174" s="330">
        <f>'Unit Data from Audit Worksheet'!I194</f>
        <v>0</v>
      </c>
      <c r="I174" s="38"/>
      <c r="J174" s="329">
        <v>364</v>
      </c>
      <c r="K174" s="328" t="s">
        <v>242</v>
      </c>
      <c r="L174" s="431">
        <f t="shared" si="20"/>
        <v>0</v>
      </c>
      <c r="P174" s="300"/>
      <c r="W174" s="3" t="b">
        <f t="shared" si="19"/>
        <v>1</v>
      </c>
      <c r="X174" s="428">
        <f t="shared" si="12"/>
        <v>0</v>
      </c>
      <c r="Y174" s="428">
        <f t="shared" si="13"/>
        <v>0</v>
      </c>
    </row>
    <row r="175" spans="1:25" ht="89.25" customHeight="1" x14ac:dyDescent="0.3">
      <c r="A175" s="318">
        <f>'Unit Data from Audit Worksheet'!A195</f>
        <v>192</v>
      </c>
      <c r="B175" s="332" t="str">
        <f>'Unit Data from Audit Worksheet'!C195</f>
        <v>Electric Fund Revenue, Expenses &amp; Changes in Fund Net Position</v>
      </c>
      <c r="C175" s="317" t="str">
        <f>'Unit Data from Audit Worksheet'!D195</f>
        <v>Capital Contributions.  
Include only positive capital Contributions.  Negative capital contributions should be included with 'Total all non-operating expenses.'</v>
      </c>
      <c r="D175" s="337"/>
      <c r="E175" s="338">
        <f>'Unit Data from Audit Worksheet'!F195</f>
        <v>0</v>
      </c>
      <c r="F175" s="331">
        <f>IF(L175&lt;0,"Error: Enter as a positive.",)</f>
        <v>0</v>
      </c>
      <c r="G175" s="333"/>
      <c r="H175" s="330">
        <f>'Unit Data from Audit Worksheet'!I195</f>
        <v>0</v>
      </c>
      <c r="I175" s="38"/>
      <c r="J175" s="329">
        <v>192</v>
      </c>
      <c r="K175" s="328" t="s">
        <v>243</v>
      </c>
      <c r="L175" s="431">
        <f t="shared" si="20"/>
        <v>0</v>
      </c>
      <c r="P175" s="300"/>
      <c r="W175" s="3" t="b">
        <f t="shared" si="19"/>
        <v>1</v>
      </c>
      <c r="X175" s="428">
        <f t="shared" si="12"/>
        <v>0</v>
      </c>
      <c r="Y175" s="428">
        <f t="shared" si="13"/>
        <v>0</v>
      </c>
    </row>
    <row r="176" spans="1:25" ht="42.75" customHeight="1" x14ac:dyDescent="0.3">
      <c r="A176" s="318">
        <f>'Unit Data from Audit Worksheet'!A196</f>
        <v>365</v>
      </c>
      <c r="B176" s="332" t="str">
        <f>'Unit Data from Audit Worksheet'!C196</f>
        <v>Electric Fund Revenue, Expenses &amp; Changes in Fund Net Position</v>
      </c>
      <c r="C176" s="317" t="str">
        <f>'Unit Data from Audit Worksheet'!D196</f>
        <v>Total Transfers In (From all Funds)</v>
      </c>
      <c r="D176" s="337"/>
      <c r="E176" s="338">
        <f>'Unit Data from Audit Worksheet'!F196</f>
        <v>0</v>
      </c>
      <c r="F176" s="331"/>
      <c r="G176" s="333"/>
      <c r="H176" s="330">
        <f>'Unit Data from Audit Worksheet'!I196</f>
        <v>0</v>
      </c>
      <c r="I176" s="38"/>
      <c r="J176" s="329">
        <v>365</v>
      </c>
      <c r="K176" s="328" t="s">
        <v>244</v>
      </c>
      <c r="L176" s="431">
        <f t="shared" si="20"/>
        <v>0</v>
      </c>
      <c r="P176" s="300"/>
      <c r="W176" s="3" t="b">
        <f t="shared" si="19"/>
        <v>1</v>
      </c>
      <c r="X176" s="428">
        <f t="shared" si="12"/>
        <v>0</v>
      </c>
      <c r="Y176" s="428">
        <f t="shared" si="13"/>
        <v>0</v>
      </c>
    </row>
    <row r="177" spans="1:25" ht="42.75" customHeight="1" x14ac:dyDescent="0.3">
      <c r="A177" s="318">
        <f>'Unit Data from Audit Worksheet'!A197</f>
        <v>366</v>
      </c>
      <c r="B177" s="332" t="str">
        <f>'Unit Data from Audit Worksheet'!C197</f>
        <v>Electric Fund Revenue, Expenses &amp; Changes in Fund Net Position</v>
      </c>
      <c r="C177" s="317" t="str">
        <f>'Unit Data from Audit Worksheet'!D197</f>
        <v>Total Transfers Out (To all funds)</v>
      </c>
      <c r="D177" s="337"/>
      <c r="E177" s="338">
        <f>'Unit Data from Audit Worksheet'!F197</f>
        <v>0</v>
      </c>
      <c r="F177" s="331">
        <f>IF(L177&lt;0,"Error: Enter as a positive.",)</f>
        <v>0</v>
      </c>
      <c r="G177" s="333"/>
      <c r="H177" s="330">
        <f>'Unit Data from Audit Worksheet'!I197</f>
        <v>0</v>
      </c>
      <c r="I177" s="38"/>
      <c r="J177" s="329">
        <v>366</v>
      </c>
      <c r="K177" s="328" t="s">
        <v>324</v>
      </c>
      <c r="L177" s="431">
        <f t="shared" si="20"/>
        <v>0</v>
      </c>
      <c r="P177" s="300"/>
      <c r="W177" s="3" t="b">
        <f t="shared" si="19"/>
        <v>1</v>
      </c>
      <c r="X177" s="428">
        <f t="shared" si="12"/>
        <v>0</v>
      </c>
      <c r="Y177" s="428">
        <f t="shared" si="13"/>
        <v>0</v>
      </c>
    </row>
    <row r="178" spans="1:25" s="18" customFormat="1" ht="76.5" customHeight="1" x14ac:dyDescent="0.3">
      <c r="A178" s="318">
        <f>'Unit Data from Audit Worksheet'!A198</f>
        <v>53</v>
      </c>
      <c r="B178" s="332" t="str">
        <f>'Unit Data from Audit Worksheet'!C198</f>
        <v>Electric Fund Revenue, Expenses &amp; Changes in Fund Net Position</v>
      </c>
      <c r="C178" s="317" t="str">
        <f>'Unit Data from Audit Worksheet'!D198</f>
        <v>Change in net position - Increase in net position is recorded as a positive and a (decrease) in net position is recorded as a negative.</v>
      </c>
      <c r="D178" s="337"/>
      <c r="E178" s="338">
        <f>'Unit Data from Audit Worksheet'!F198</f>
        <v>0</v>
      </c>
      <c r="F178" s="331">
        <f>IF(L168-L171+L173-L174+L175+L176-L177-L178=0,,"Error: Total revenues less total exp. does not equal change in net position Acct 93-94+363-364+192+365-366-53=0")</f>
        <v>0</v>
      </c>
      <c r="G178" s="91">
        <f>+L168-L171+L173-L174+L175+L176-L177-L178</f>
        <v>0</v>
      </c>
      <c r="H178" s="330">
        <f>'Unit Data from Audit Worksheet'!I198</f>
        <v>0</v>
      </c>
      <c r="I178" s="38"/>
      <c r="J178" s="329">
        <v>53</v>
      </c>
      <c r="K178" s="328" t="s">
        <v>101</v>
      </c>
      <c r="L178" s="431">
        <f t="shared" si="20"/>
        <v>0</v>
      </c>
      <c r="P178" s="300"/>
      <c r="Q178" s="421">
        <f>IF(G178&lt;&gt;0,1,0)</f>
        <v>0</v>
      </c>
      <c r="R178" s="3"/>
      <c r="W178" s="3" t="b">
        <f t="shared" si="19"/>
        <v>1</v>
      </c>
      <c r="X178" s="428">
        <f t="shared" si="12"/>
        <v>0</v>
      </c>
      <c r="Y178" s="428">
        <f t="shared" si="13"/>
        <v>0</v>
      </c>
    </row>
    <row r="179" spans="1:25" ht="140.25" customHeight="1" x14ac:dyDescent="0.3">
      <c r="A179" s="318">
        <f>'Unit Data from Audit Worksheet'!A199</f>
        <v>378</v>
      </c>
      <c r="B179" s="332" t="str">
        <f>'Unit Data from Audit Worksheet'!C199</f>
        <v>Electric Fund Revenue, Expenses &amp; Changes in Fund Net Position</v>
      </c>
      <c r="C179" s="317"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37"/>
      <c r="E179" s="338">
        <f>+'Unit Data from Audit Worksheet'!F199</f>
        <v>0</v>
      </c>
      <c r="F179" s="331" t="e">
        <f>IF(L151-L178-L179=O151,,"Error: Beg. Bal does not agree with our records Acct 362-53-378= pr yr 362")</f>
        <v>#N/A</v>
      </c>
      <c r="G179" s="91" t="e">
        <f>L151-L178-L179-O151</f>
        <v>#N/A</v>
      </c>
      <c r="H179" s="330">
        <f>'Unit Data from Audit Worksheet'!I199</f>
        <v>0</v>
      </c>
      <c r="I179" s="38"/>
      <c r="J179" s="329">
        <v>378</v>
      </c>
      <c r="K179" s="328" t="s">
        <v>110</v>
      </c>
      <c r="L179" s="431">
        <f t="shared" si="20"/>
        <v>0</v>
      </c>
      <c r="P179" s="300"/>
      <c r="Q179" s="421" t="e">
        <f>IF(G179&lt;&gt;0,1,0)</f>
        <v>#N/A</v>
      </c>
      <c r="W179" s="3" t="b">
        <f t="shared" si="19"/>
        <v>1</v>
      </c>
      <c r="X179" s="428">
        <f t="shared" si="12"/>
        <v>0</v>
      </c>
      <c r="Y179" s="428">
        <f t="shared" si="13"/>
        <v>0</v>
      </c>
    </row>
    <row r="180" spans="1:25" ht="28.8" x14ac:dyDescent="0.3">
      <c r="A180" s="318">
        <f>'Unit Data from Audit Worksheet'!A204</f>
        <v>51</v>
      </c>
      <c r="B180" s="332" t="str">
        <f>'Unit Data from Audit Worksheet'!C204</f>
        <v>Water Sewer Cash Flow Statement</v>
      </c>
      <c r="C180" s="317" t="str">
        <f>'Unit Data from Audit Worksheet'!D204</f>
        <v>Total Cash flow from operating activities  - (Enter negative cash flows as negative)</v>
      </c>
      <c r="D180" s="337"/>
      <c r="E180" s="338">
        <f>'Unit Data from Audit Worksheet'!F204</f>
        <v>0</v>
      </c>
      <c r="F180" s="331"/>
      <c r="G180" s="333"/>
      <c r="H180" s="330">
        <f>'Unit Data from Audit Worksheet'!I204</f>
        <v>0</v>
      </c>
      <c r="I180" s="38"/>
      <c r="J180" s="329">
        <v>51</v>
      </c>
      <c r="K180" s="328" t="s">
        <v>245</v>
      </c>
      <c r="L180" s="431">
        <f t="shared" si="20"/>
        <v>0</v>
      </c>
      <c r="P180" s="300"/>
      <c r="W180" s="3" t="b">
        <f t="shared" si="19"/>
        <v>1</v>
      </c>
      <c r="X180" s="428">
        <f t="shared" si="12"/>
        <v>0</v>
      </c>
      <c r="Y180" s="428">
        <f t="shared" si="13"/>
        <v>0</v>
      </c>
    </row>
    <row r="181" spans="1:25" ht="64.5" customHeight="1" x14ac:dyDescent="0.3">
      <c r="A181" s="318">
        <f>'Unit Data from Audit Worksheet'!A205</f>
        <v>332</v>
      </c>
      <c r="B181" s="332" t="str">
        <f>'Unit Data from Audit Worksheet'!C205</f>
        <v>Water Sewer Cash Flow Statement</v>
      </c>
      <c r="C181" s="317" t="str">
        <f>'Unit Data from Audit Worksheet'!D205</f>
        <v>Total Capital outlay. 
Include acquisition and construction of capital assets.</v>
      </c>
      <c r="D181" s="337"/>
      <c r="E181" s="338">
        <f>'Unit Data from Audit Worksheet'!F205</f>
        <v>0</v>
      </c>
      <c r="F181" s="331">
        <f>IF(L181&lt;0,"Error: Enter as a positive.",)</f>
        <v>0</v>
      </c>
      <c r="G181" s="333"/>
      <c r="H181" s="330">
        <f>'Unit Data from Audit Worksheet'!I205</f>
        <v>0</v>
      </c>
      <c r="I181" s="38"/>
      <c r="J181" s="329">
        <v>332</v>
      </c>
      <c r="K181" s="328" t="s">
        <v>247</v>
      </c>
      <c r="L181" s="431">
        <f t="shared" si="20"/>
        <v>0</v>
      </c>
      <c r="O181" s="439"/>
      <c r="P181" s="300"/>
      <c r="W181" s="3" t="b">
        <f t="shared" si="19"/>
        <v>1</v>
      </c>
      <c r="X181" s="428">
        <f t="shared" si="12"/>
        <v>0</v>
      </c>
      <c r="Y181" s="428">
        <f t="shared" si="13"/>
        <v>0</v>
      </c>
    </row>
    <row r="182" spans="1:25" ht="58.5" customHeight="1" x14ac:dyDescent="0.3">
      <c r="A182" s="318">
        <f>'Unit Data from Audit Worksheet'!A206</f>
        <v>331</v>
      </c>
      <c r="B182" s="332" t="str">
        <f>'Unit Data from Audit Worksheet'!C206</f>
        <v>Water Sewer Cash Flow Statement</v>
      </c>
      <c r="C182" s="317" t="str">
        <f>'Unit Data from Audit Worksheet'!D206</f>
        <v>Principal paid on long-term debt.  Amount should be reduced by principal payments for debt refunding.</v>
      </c>
      <c r="D182" s="337"/>
      <c r="E182" s="338">
        <f>'Unit Data from Audit Worksheet'!F206</f>
        <v>0</v>
      </c>
      <c r="F182" s="331">
        <f>IF(L182&lt;0,"Error: Enter as a positive.",)</f>
        <v>0</v>
      </c>
      <c r="G182" s="333"/>
      <c r="H182" s="330">
        <f>'Unit Data from Audit Worksheet'!I206</f>
        <v>0</v>
      </c>
      <c r="I182" s="38"/>
      <c r="J182" s="329">
        <v>331</v>
      </c>
      <c r="K182" s="328" t="s">
        <v>246</v>
      </c>
      <c r="L182" s="431">
        <f t="shared" si="20"/>
        <v>0</v>
      </c>
      <c r="O182" s="439"/>
      <c r="P182" s="300"/>
      <c r="W182" s="3" t="b">
        <f t="shared" si="19"/>
        <v>1</v>
      </c>
      <c r="X182" s="428">
        <f t="shared" ref="X182:X276" si="21">E182-L182</f>
        <v>0</v>
      </c>
      <c r="Y182" s="428">
        <f t="shared" ref="Y182:Y276" si="22">D182-L182</f>
        <v>0</v>
      </c>
    </row>
    <row r="183" spans="1:25" ht="51.75" customHeight="1" x14ac:dyDescent="0.3">
      <c r="A183" s="318">
        <f>'Unit Data from Audit Worksheet'!A208</f>
        <v>55</v>
      </c>
      <c r="B183" s="332" t="str">
        <f>'Unit Data from Audit Worksheet'!C208</f>
        <v>Electric Fund Cash Flow Statement</v>
      </c>
      <c r="C183" s="317" t="str">
        <f>'Unit Data from Audit Worksheet'!D208</f>
        <v>Cash flow from operating activities - (enter negative cash flows as negative)</v>
      </c>
      <c r="D183" s="337"/>
      <c r="E183" s="338">
        <f>'Unit Data from Audit Worksheet'!F208</f>
        <v>0</v>
      </c>
      <c r="F183" s="331"/>
      <c r="G183" s="333"/>
      <c r="H183" s="330">
        <f>'Unit Data from Audit Worksheet'!I208</f>
        <v>0</v>
      </c>
      <c r="I183" s="38"/>
      <c r="J183" s="329">
        <v>55</v>
      </c>
      <c r="K183" s="328" t="s">
        <v>248</v>
      </c>
      <c r="L183" s="431">
        <f t="shared" si="20"/>
        <v>0</v>
      </c>
      <c r="P183" s="300"/>
      <c r="W183" s="3" t="b">
        <f t="shared" si="19"/>
        <v>1</v>
      </c>
      <c r="X183" s="428">
        <f t="shared" si="21"/>
        <v>0</v>
      </c>
      <c r="Y183" s="428">
        <f t="shared" si="22"/>
        <v>0</v>
      </c>
    </row>
    <row r="184" spans="1:25" ht="58.5" customHeight="1" x14ac:dyDescent="0.3">
      <c r="A184" s="318">
        <f>'Unit Data from Audit Worksheet'!A209</f>
        <v>101</v>
      </c>
      <c r="B184" s="332" t="str">
        <f>'Unit Data from Audit Worksheet'!C209</f>
        <v>Electric Fund Cash Flow Statement</v>
      </c>
      <c r="C184" s="317" t="str">
        <f>'Unit Data from Audit Worksheet'!D209</f>
        <v>Total Capital outlay.  
Include acquisition and construction of capital assets.</v>
      </c>
      <c r="D184" s="337"/>
      <c r="E184" s="338">
        <f>'Unit Data from Audit Worksheet'!F209</f>
        <v>0</v>
      </c>
      <c r="F184" s="331">
        <f>IF(L184&lt;0,"Error: Enter as a positive.",)</f>
        <v>0</v>
      </c>
      <c r="G184" s="333"/>
      <c r="H184" s="330">
        <f>'Unit Data from Audit Worksheet'!I209</f>
        <v>0</v>
      </c>
      <c r="I184" s="38"/>
      <c r="J184" s="329">
        <v>101</v>
      </c>
      <c r="K184" s="328" t="s">
        <v>249</v>
      </c>
      <c r="L184" s="431">
        <f t="shared" si="20"/>
        <v>0</v>
      </c>
      <c r="P184" s="300"/>
      <c r="W184" s="3" t="b">
        <f t="shared" si="19"/>
        <v>1</v>
      </c>
      <c r="X184" s="428">
        <f t="shared" si="21"/>
        <v>0</v>
      </c>
      <c r="Y184" s="428">
        <f t="shared" si="22"/>
        <v>0</v>
      </c>
    </row>
    <row r="185" spans="1:25" ht="60.75" customHeight="1" x14ac:dyDescent="0.3">
      <c r="A185" s="318">
        <f>'Unit Data from Audit Worksheet'!A210</f>
        <v>100</v>
      </c>
      <c r="B185" s="332" t="str">
        <f>'Unit Data from Audit Worksheet'!C210</f>
        <v>Electric Fund Cash Flow Statement</v>
      </c>
      <c r="C185" s="317" t="str">
        <f>'Unit Data from Audit Worksheet'!D210</f>
        <v>Principal paid on long-term debt.  Amount should be reduced by principal payments for debt refunding.</v>
      </c>
      <c r="D185" s="337"/>
      <c r="E185" s="338">
        <f>'Unit Data from Audit Worksheet'!F210</f>
        <v>0</v>
      </c>
      <c r="F185" s="331">
        <f>IF(L185&lt;0,"Error: Enter as a positive.",)</f>
        <v>0</v>
      </c>
      <c r="G185" s="333"/>
      <c r="H185" s="330">
        <f>'Unit Data from Audit Worksheet'!I210</f>
        <v>0</v>
      </c>
      <c r="I185" s="38"/>
      <c r="J185" s="329">
        <v>100</v>
      </c>
      <c r="K185" s="328" t="s">
        <v>250</v>
      </c>
      <c r="L185" s="431">
        <f t="shared" si="20"/>
        <v>0</v>
      </c>
      <c r="P185" s="300"/>
      <c r="W185" s="3" t="b">
        <f t="shared" si="19"/>
        <v>1</v>
      </c>
      <c r="X185" s="428">
        <f t="shared" si="21"/>
        <v>0</v>
      </c>
      <c r="Y185" s="428">
        <f t="shared" si="22"/>
        <v>0</v>
      </c>
    </row>
    <row r="186" spans="1:25" ht="71.25" customHeight="1" x14ac:dyDescent="0.3">
      <c r="A186" s="318">
        <f>'Unit Data from Audit Worksheet'!A212</f>
        <v>512</v>
      </c>
      <c r="B186" s="332" t="str">
        <f>'Unit Data from Audit Worksheet'!C212</f>
        <v>Fiduciary Statements</v>
      </c>
      <c r="C186" s="317" t="str">
        <f>'Unit Data from Audit Worksheet'!D212</f>
        <v>Cash and investments.  
Include:  unrestricted and restricted.  
                   cash and investments held 
                   by a third party</v>
      </c>
      <c r="D186" s="337"/>
      <c r="E186" s="338">
        <f>'Unit Data from Audit Worksheet'!F212</f>
        <v>0</v>
      </c>
      <c r="F186" s="331">
        <f>IF(L186&lt;0,"Error: Number is normally positive.",)</f>
        <v>0</v>
      </c>
      <c r="G186" s="333"/>
      <c r="H186" s="330">
        <f>'Unit Data from Audit Worksheet'!I212</f>
        <v>0</v>
      </c>
      <c r="I186" s="38"/>
      <c r="J186" s="329">
        <v>512</v>
      </c>
      <c r="K186" s="328" t="s">
        <v>251</v>
      </c>
      <c r="L186" s="431">
        <f t="shared" si="20"/>
        <v>0</v>
      </c>
      <c r="P186" s="300"/>
      <c r="W186" s="3" t="b">
        <f t="shared" si="19"/>
        <v>1</v>
      </c>
      <c r="X186" s="428">
        <f t="shared" si="21"/>
        <v>0</v>
      </c>
      <c r="Y186" s="428">
        <f t="shared" si="22"/>
        <v>0</v>
      </c>
    </row>
    <row r="187" spans="1:25" ht="62.25" customHeight="1" x14ac:dyDescent="0.3">
      <c r="A187" s="318">
        <f>'Unit Data from Audit Worksheet'!A214</f>
        <v>656</v>
      </c>
      <c r="B187" s="332">
        <f>'Unit Data from Audit Worksheet'!C214</f>
        <v>0</v>
      </c>
      <c r="C187" s="317" t="str">
        <f>'Unit Data from Audit Worksheet'!D214</f>
        <v>Do you use prepared food/occupancy tax revenue stream to support debt?  Select "1" for Yes and "2" for No</v>
      </c>
      <c r="D187" s="139"/>
      <c r="E187" s="338">
        <f>'Unit Data from Audit Worksheet'!F214</f>
        <v>0</v>
      </c>
      <c r="F187" s="331"/>
      <c r="G187" s="333"/>
      <c r="H187" s="330"/>
      <c r="I187" s="38"/>
      <c r="J187" s="329">
        <v>656</v>
      </c>
      <c r="K187" s="335" t="s">
        <v>504</v>
      </c>
      <c r="L187" s="457">
        <f>E187</f>
        <v>0</v>
      </c>
      <c r="M187" s="18"/>
      <c r="N187" s="18"/>
      <c r="O187" s="18"/>
      <c r="P187" s="300"/>
      <c r="W187" s="3" t="b">
        <f t="shared" si="19"/>
        <v>1</v>
      </c>
      <c r="X187" s="428">
        <f t="shared" si="21"/>
        <v>0</v>
      </c>
      <c r="Y187" s="428">
        <f t="shared" si="22"/>
        <v>0</v>
      </c>
    </row>
    <row r="188" spans="1:25" s="18" customFormat="1" ht="102.75" customHeight="1" x14ac:dyDescent="0.3">
      <c r="A188" s="318">
        <f>'Unit Data from Audit Worksheet'!A216</f>
        <v>535</v>
      </c>
      <c r="B188" s="332" t="str">
        <f>'Unit Data from Audit Worksheet'!C216</f>
        <v>Cash and Investment Note</v>
      </c>
      <c r="C188" s="317" t="str">
        <f>'Unit Data from Audit Worksheet'!D216</f>
        <v>Cash and Investment - Please list the book value of any unspent debt proceeds (bonds, installment, etc.) in any funds as of June 30.  This information may be on the face of your statements or in the notes</v>
      </c>
      <c r="D188" s="337"/>
      <c r="E188" s="338">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33"/>
      <c r="H188" s="330">
        <f>'Unit Data from Audit Worksheet'!I216</f>
        <v>0</v>
      </c>
      <c r="I188" s="38"/>
      <c r="J188" s="329">
        <v>535</v>
      </c>
      <c r="K188" s="62" t="s">
        <v>252</v>
      </c>
      <c r="L188" s="431">
        <f t="shared" si="20"/>
        <v>0</v>
      </c>
      <c r="P188" s="300"/>
      <c r="Q188" s="421"/>
      <c r="R188" s="3"/>
      <c r="W188" s="3" t="b">
        <f t="shared" si="19"/>
        <v>1</v>
      </c>
      <c r="X188" s="428">
        <f t="shared" si="21"/>
        <v>0</v>
      </c>
      <c r="Y188" s="428">
        <f t="shared" si="22"/>
        <v>0</v>
      </c>
    </row>
    <row r="189" spans="1:25" ht="45.75" customHeight="1" x14ac:dyDescent="0.3">
      <c r="A189" s="318">
        <f>'Unit Data from Audit Worksheet'!A220</f>
        <v>334</v>
      </c>
      <c r="B189" s="332" t="str">
        <f>'Unit Data from Audit Worksheet'!C220</f>
        <v>Gov.-Capital Assets Schedule in the Notes</v>
      </c>
      <c r="C189" s="317" t="str">
        <f>'Unit Data from Audit Worksheet'!D220</f>
        <v>Gross value.  
Exclude non-depreciable.</v>
      </c>
      <c r="D189" s="337"/>
      <c r="E189" s="338">
        <f>'Unit Data from Audit Worksheet'!F220</f>
        <v>0</v>
      </c>
      <c r="F189" s="87"/>
      <c r="G189" s="333"/>
      <c r="H189" s="330">
        <f>'Unit Data from Audit Worksheet'!I220</f>
        <v>0</v>
      </c>
      <c r="I189" s="38"/>
      <c r="J189" s="329">
        <v>334</v>
      </c>
      <c r="K189" s="62" t="s">
        <v>271</v>
      </c>
      <c r="L189" s="431">
        <f t="shared" si="20"/>
        <v>0</v>
      </c>
      <c r="P189" s="300"/>
      <c r="W189" s="3" t="b">
        <f t="shared" si="19"/>
        <v>1</v>
      </c>
      <c r="X189" s="428">
        <f t="shared" si="21"/>
        <v>0</v>
      </c>
      <c r="Y189" s="428">
        <f t="shared" si="22"/>
        <v>0</v>
      </c>
    </row>
    <row r="190" spans="1:25" ht="57" customHeight="1" x14ac:dyDescent="0.3">
      <c r="A190" s="318">
        <f>'Unit Data from Audit Worksheet'!A221</f>
        <v>373</v>
      </c>
      <c r="B190" s="332" t="str">
        <f>'Unit Data from Audit Worksheet'!C221</f>
        <v>Gov.-Capital Assets Schedule in the Notes</v>
      </c>
      <c r="C190" s="317" t="str">
        <f>'Unit Data from Audit Worksheet'!D221</f>
        <v>Accumulated depreciation</v>
      </c>
      <c r="D190" s="337"/>
      <c r="E190" s="338">
        <f>'Unit Data from Audit Worksheet'!F221</f>
        <v>0</v>
      </c>
      <c r="F190" s="87"/>
      <c r="G190" s="333"/>
      <c r="H190" s="330">
        <f>'Unit Data from Audit Worksheet'!I221</f>
        <v>0</v>
      </c>
      <c r="I190" s="38"/>
      <c r="J190" s="329">
        <v>373</v>
      </c>
      <c r="K190" s="58" t="s">
        <v>335</v>
      </c>
      <c r="L190" s="431">
        <f t="shared" si="20"/>
        <v>0</v>
      </c>
      <c r="P190" s="300"/>
      <c r="W190" s="3" t="b">
        <f t="shared" si="19"/>
        <v>1</v>
      </c>
      <c r="X190" s="428">
        <f t="shared" si="21"/>
        <v>0</v>
      </c>
      <c r="Y190" s="428">
        <f t="shared" si="22"/>
        <v>0</v>
      </c>
    </row>
    <row r="191" spans="1:25" ht="102.75" customHeight="1" x14ac:dyDescent="0.3">
      <c r="A191" s="447">
        <f>'Unit Data from Audit Worksheet'!A222</f>
        <v>987</v>
      </c>
      <c r="B191" s="336">
        <f>'Unit Data from Audit Worksheet'!C222</f>
        <v>0</v>
      </c>
      <c r="C191" s="448" t="str">
        <f>'Unit Data from Audit Worksheet'!D222</f>
        <v xml:space="preserve">Estimated cost not yet budgeted of any mandate placed on unit by DEQ, a court order or some similar requirement (that has no realistic appeal path). </v>
      </c>
      <c r="D191" s="337"/>
      <c r="E191" s="338">
        <f>'Unit Data from Audit Worksheet'!F222</f>
        <v>0</v>
      </c>
      <c r="F191" s="87"/>
      <c r="G191" s="333"/>
      <c r="H191" s="330">
        <f>'Unit Data from Audit Worksheet'!I222</f>
        <v>0</v>
      </c>
      <c r="I191" s="38"/>
      <c r="J191" s="347">
        <v>987</v>
      </c>
      <c r="K191" s="458" t="s">
        <v>738</v>
      </c>
      <c r="L191" s="449">
        <f t="shared" si="20"/>
        <v>0</v>
      </c>
      <c r="P191" s="300"/>
      <c r="W191" s="3" t="b">
        <f t="shared" si="19"/>
        <v>1</v>
      </c>
      <c r="X191" s="428"/>
      <c r="Y191" s="428"/>
    </row>
    <row r="192" spans="1:25" ht="69" customHeight="1" x14ac:dyDescent="0.3">
      <c r="A192" s="447">
        <f>'Unit Data from Audit Worksheet'!A223</f>
        <v>988</v>
      </c>
      <c r="B192" s="336">
        <f>'Unit Data from Audit Worksheet'!C223</f>
        <v>0</v>
      </c>
      <c r="C192" s="448" t="str">
        <f>'Unit Data from Audit Worksheet'!D223</f>
        <v>Do you operate a landfill that will be closing  or have a significant portion closing within the next 5 years?  Select "1" for Yes and "2" for No</v>
      </c>
      <c r="D192" s="337"/>
      <c r="E192" s="338">
        <f>'Unit Data from Audit Worksheet'!F223</f>
        <v>0</v>
      </c>
      <c r="F192" s="87"/>
      <c r="G192" s="333"/>
      <c r="H192" s="330">
        <f>'Unit Data from Audit Worksheet'!I223</f>
        <v>0</v>
      </c>
      <c r="I192" s="38"/>
      <c r="J192" s="347">
        <v>988</v>
      </c>
      <c r="K192" s="458" t="s">
        <v>1172</v>
      </c>
      <c r="L192" s="449">
        <f t="shared" si="20"/>
        <v>0</v>
      </c>
      <c r="P192" s="300"/>
      <c r="W192" s="3" t="b">
        <f t="shared" si="19"/>
        <v>1</v>
      </c>
      <c r="X192" s="428"/>
      <c r="Y192" s="428"/>
    </row>
    <row r="193" spans="1:25" ht="95.25" customHeight="1" x14ac:dyDescent="0.3">
      <c r="A193" s="447">
        <f>'Unit Data from Audit Worksheet'!A224</f>
        <v>989</v>
      </c>
      <c r="B193" s="336">
        <f>'Unit Data from Audit Worksheet'!C224</f>
        <v>0</v>
      </c>
      <c r="C193" s="448" t="str">
        <f>'Unit Data from Audit Worksheet'!D224</f>
        <v>If you answered "yes" to question #988 above, will you have the closure/postclosure cost fully funded by the date of closure?  Select "1" for Yes,  "2" for No, or "3" for N/A.</v>
      </c>
      <c r="D193" s="337"/>
      <c r="E193" s="338">
        <f>'Unit Data from Audit Worksheet'!F224</f>
        <v>0</v>
      </c>
      <c r="F193" s="87"/>
      <c r="G193" s="333"/>
      <c r="H193" s="330">
        <f>'Unit Data from Audit Worksheet'!I224</f>
        <v>0</v>
      </c>
      <c r="I193" s="38"/>
      <c r="J193" s="347">
        <v>989</v>
      </c>
      <c r="K193" s="458" t="s">
        <v>989</v>
      </c>
      <c r="L193" s="449">
        <f t="shared" si="20"/>
        <v>0</v>
      </c>
      <c r="P193" s="300"/>
      <c r="W193" s="3" t="b">
        <f t="shared" si="19"/>
        <v>1</v>
      </c>
      <c r="X193" s="428"/>
      <c r="Y193" s="428"/>
    </row>
    <row r="194" spans="1:25" ht="57" customHeight="1" x14ac:dyDescent="0.3">
      <c r="A194" s="318">
        <f>'Unit Data from Audit Worksheet'!A228</f>
        <v>327</v>
      </c>
      <c r="B194" s="332" t="str">
        <f>'Unit Data from Audit Worksheet'!C228</f>
        <v>WS-Capital Assets Schedule in the Notes</v>
      </c>
      <c r="C194" s="317" t="str">
        <f>'Unit Data from Audit Worksheet'!D228</f>
        <v>Land and all other non depreciable capital assets 
Exclude construction in progress</v>
      </c>
      <c r="D194" s="337"/>
      <c r="E194" s="338">
        <f>'Unit Data from Audit Worksheet'!F228</f>
        <v>0</v>
      </c>
      <c r="F194" s="87"/>
      <c r="G194" s="333"/>
      <c r="H194" s="330">
        <f>'Unit Data from Audit Worksheet'!I228</f>
        <v>0</v>
      </c>
      <c r="I194" s="38"/>
      <c r="J194" s="329">
        <v>327</v>
      </c>
      <c r="K194" s="58" t="s">
        <v>336</v>
      </c>
      <c r="L194" s="431">
        <f t="shared" si="20"/>
        <v>0</v>
      </c>
      <c r="P194" s="300"/>
      <c r="W194" s="3" t="b">
        <f t="shared" si="19"/>
        <v>1</v>
      </c>
      <c r="X194" s="428">
        <f t="shared" si="21"/>
        <v>0</v>
      </c>
      <c r="Y194" s="428">
        <f t="shared" si="22"/>
        <v>0</v>
      </c>
    </row>
    <row r="195" spans="1:25" ht="57" customHeight="1" x14ac:dyDescent="0.3">
      <c r="A195" s="318">
        <f>'Unit Data from Audit Worksheet'!A229</f>
        <v>328</v>
      </c>
      <c r="B195" s="332" t="str">
        <f>'Unit Data from Audit Worksheet'!C229</f>
        <v>WS-Capital Assets Schedule in the Notes</v>
      </c>
      <c r="C195" s="317" t="str">
        <f>'Unit Data from Audit Worksheet'!D229</f>
        <v>Construction in progress</v>
      </c>
      <c r="D195" s="337"/>
      <c r="E195" s="338">
        <f>'Unit Data from Audit Worksheet'!F229</f>
        <v>0</v>
      </c>
      <c r="F195" s="87"/>
      <c r="G195" s="333"/>
      <c r="H195" s="330">
        <f>'Unit Data from Audit Worksheet'!I229</f>
        <v>0</v>
      </c>
      <c r="I195" s="38"/>
      <c r="J195" s="329">
        <v>328</v>
      </c>
      <c r="K195" s="58" t="s">
        <v>337</v>
      </c>
      <c r="L195" s="431">
        <f t="shared" si="20"/>
        <v>0</v>
      </c>
      <c r="P195" s="300"/>
      <c r="W195" s="3" t="b">
        <f t="shared" si="19"/>
        <v>1</v>
      </c>
      <c r="X195" s="428">
        <f t="shared" si="21"/>
        <v>0</v>
      </c>
      <c r="Y195" s="428">
        <f t="shared" si="22"/>
        <v>0</v>
      </c>
    </row>
    <row r="196" spans="1:25" ht="46.5" customHeight="1" x14ac:dyDescent="0.3">
      <c r="A196" s="318">
        <f>'Unit Data from Audit Worksheet'!A233</f>
        <v>515</v>
      </c>
      <c r="B196" s="332" t="str">
        <f>'Unit Data from Audit Worksheet'!C233</f>
        <v>WS Capital Assets Schedule-Gross Value</v>
      </c>
      <c r="C196" s="317" t="str">
        <f>'Unit Data from Audit Worksheet'!D233</f>
        <v>Buildings</v>
      </c>
      <c r="D196" s="337"/>
      <c r="E196" s="338">
        <f>'Unit Data from Audit Worksheet'!F233</f>
        <v>0</v>
      </c>
      <c r="F196" s="87"/>
      <c r="G196" s="333"/>
      <c r="H196" s="330">
        <f>'Unit Data from Audit Worksheet'!I233</f>
        <v>0</v>
      </c>
      <c r="I196" s="38"/>
      <c r="J196" s="329">
        <v>515</v>
      </c>
      <c r="K196" s="58" t="s">
        <v>272</v>
      </c>
      <c r="L196" s="431">
        <f t="shared" si="20"/>
        <v>0</v>
      </c>
      <c r="P196" s="300"/>
      <c r="W196" s="3" t="b">
        <f t="shared" si="19"/>
        <v>1</v>
      </c>
      <c r="X196" s="428">
        <f t="shared" si="21"/>
        <v>0</v>
      </c>
      <c r="Y196" s="428">
        <f t="shared" si="22"/>
        <v>0</v>
      </c>
    </row>
    <row r="197" spans="1:25" ht="46.5" customHeight="1" x14ac:dyDescent="0.3">
      <c r="A197" s="318">
        <f>'Unit Data from Audit Worksheet'!A234</f>
        <v>516</v>
      </c>
      <c r="B197" s="332" t="str">
        <f>'Unit Data from Audit Worksheet'!C234</f>
        <v>WS Capital Assets Schedule-Gross Value</v>
      </c>
      <c r="C197" s="317" t="str">
        <f>'Unit Data from Audit Worksheet'!D234</f>
        <v>Plant / distributions systems / water lines</v>
      </c>
      <c r="D197" s="337"/>
      <c r="E197" s="338">
        <f>'Unit Data from Audit Worksheet'!F234</f>
        <v>0</v>
      </c>
      <c r="F197" s="87"/>
      <c r="G197" s="333"/>
      <c r="H197" s="330">
        <f>'Unit Data from Audit Worksheet'!I234</f>
        <v>0</v>
      </c>
      <c r="I197" s="38"/>
      <c r="J197" s="329">
        <v>516</v>
      </c>
      <c r="K197" s="58" t="s">
        <v>273</v>
      </c>
      <c r="L197" s="431">
        <f t="shared" si="20"/>
        <v>0</v>
      </c>
      <c r="P197" s="300"/>
      <c r="W197" s="3" t="b">
        <f t="shared" ref="W197:W228" si="23">EXACT(A197,J197)</f>
        <v>1</v>
      </c>
      <c r="X197" s="428">
        <f t="shared" si="21"/>
        <v>0</v>
      </c>
      <c r="Y197" s="428">
        <f t="shared" si="22"/>
        <v>0</v>
      </c>
    </row>
    <row r="198" spans="1:25" ht="46.5" customHeight="1" x14ac:dyDescent="0.3">
      <c r="A198" s="318">
        <f>'Unit Data from Audit Worksheet'!A235</f>
        <v>517</v>
      </c>
      <c r="B198" s="332" t="str">
        <f>'Unit Data from Audit Worksheet'!C235</f>
        <v>WS Capital Assets Schedule-Gross Value</v>
      </c>
      <c r="C198" s="317" t="str">
        <f>'Unit Data from Audit Worksheet'!D235</f>
        <v>Infrastructure(other infrastructure)</v>
      </c>
      <c r="D198" s="337"/>
      <c r="E198" s="338">
        <f>'Unit Data from Audit Worksheet'!F235</f>
        <v>0</v>
      </c>
      <c r="F198" s="87"/>
      <c r="G198" s="333"/>
      <c r="H198" s="330">
        <f>'Unit Data from Audit Worksheet'!I235</f>
        <v>0</v>
      </c>
      <c r="I198" s="38"/>
      <c r="J198" s="329">
        <v>517</v>
      </c>
      <c r="K198" s="459" t="s">
        <v>274</v>
      </c>
      <c r="L198" s="431">
        <f t="shared" si="20"/>
        <v>0</v>
      </c>
      <c r="P198" s="300"/>
      <c r="W198" s="3" t="b">
        <f t="shared" si="23"/>
        <v>1</v>
      </c>
      <c r="X198" s="428">
        <f t="shared" si="21"/>
        <v>0</v>
      </c>
      <c r="Y198" s="428">
        <f t="shared" si="22"/>
        <v>0</v>
      </c>
    </row>
    <row r="199" spans="1:25" ht="46.5" customHeight="1" x14ac:dyDescent="0.3">
      <c r="A199" s="318">
        <f>'Unit Data from Audit Worksheet'!A236</f>
        <v>518</v>
      </c>
      <c r="B199" s="332" t="str">
        <f>'Unit Data from Audit Worksheet'!C236</f>
        <v>WS Capital Assets Schedule-Gross Value</v>
      </c>
      <c r="C199" s="317" t="str">
        <f>'Unit Data from Audit Worksheet'!D236</f>
        <v>All other depreciable capital assets</v>
      </c>
      <c r="D199" s="337"/>
      <c r="E199" s="338">
        <f>'Unit Data from Audit Worksheet'!F236</f>
        <v>0</v>
      </c>
      <c r="F199" s="87"/>
      <c r="G199" s="333"/>
      <c r="H199" s="330">
        <f>'Unit Data from Audit Worksheet'!I236</f>
        <v>0</v>
      </c>
      <c r="I199" s="38"/>
      <c r="J199" s="329">
        <v>518</v>
      </c>
      <c r="K199" s="459" t="s">
        <v>275</v>
      </c>
      <c r="L199" s="431">
        <f t="shared" si="20"/>
        <v>0</v>
      </c>
      <c r="P199" s="300"/>
      <c r="W199" s="3" t="b">
        <f t="shared" si="23"/>
        <v>1</v>
      </c>
      <c r="X199" s="428">
        <f t="shared" si="21"/>
        <v>0</v>
      </c>
      <c r="Y199" s="428">
        <f t="shared" si="22"/>
        <v>0</v>
      </c>
    </row>
    <row r="200" spans="1:25" ht="52.5" customHeight="1" x14ac:dyDescent="0.3">
      <c r="A200" s="318">
        <f>'Unit Data from Audit Worksheet'!A239</f>
        <v>519</v>
      </c>
      <c r="B200" s="332" t="str">
        <f>'Unit Data from Audit Worksheet'!C239</f>
        <v>WS Capital Assets Schedule-Annual Depreciation</v>
      </c>
      <c r="C200" s="317" t="str">
        <f>'Unit Data from Audit Worksheet'!D239</f>
        <v>Buildings annual depreciation</v>
      </c>
      <c r="D200" s="337"/>
      <c r="E200" s="338">
        <f>'Unit Data from Audit Worksheet'!F239</f>
        <v>0</v>
      </c>
      <c r="F200" s="87"/>
      <c r="G200" s="333"/>
      <c r="H200" s="330">
        <f>'Unit Data from Audit Worksheet'!I239</f>
        <v>0</v>
      </c>
      <c r="I200" s="38"/>
      <c r="J200" s="329">
        <v>519</v>
      </c>
      <c r="K200" s="459" t="s">
        <v>276</v>
      </c>
      <c r="L200" s="431">
        <f t="shared" si="20"/>
        <v>0</v>
      </c>
      <c r="P200" s="300"/>
      <c r="W200" s="3" t="b">
        <f t="shared" si="23"/>
        <v>1</v>
      </c>
      <c r="X200" s="428">
        <f t="shared" si="21"/>
        <v>0</v>
      </c>
      <c r="Y200" s="428">
        <f t="shared" si="22"/>
        <v>0</v>
      </c>
    </row>
    <row r="201" spans="1:25" ht="52.5" customHeight="1" x14ac:dyDescent="0.3">
      <c r="A201" s="318">
        <f>'Unit Data from Audit Worksheet'!A240</f>
        <v>520</v>
      </c>
      <c r="B201" s="332" t="str">
        <f>'Unit Data from Audit Worksheet'!C240</f>
        <v>WS Capital Assets Schedule-Annual Depreciation</v>
      </c>
      <c r="C201" s="317" t="str">
        <f>'Unit Data from Audit Worksheet'!D240</f>
        <v>Plant / distributions systems / water lines annual depreciation</v>
      </c>
      <c r="D201" s="337"/>
      <c r="E201" s="338">
        <f>'Unit Data from Audit Worksheet'!F240</f>
        <v>0</v>
      </c>
      <c r="F201" s="87"/>
      <c r="G201" s="333"/>
      <c r="H201" s="330">
        <f>'Unit Data from Audit Worksheet'!I240</f>
        <v>0</v>
      </c>
      <c r="I201" s="38"/>
      <c r="J201" s="329">
        <v>520</v>
      </c>
      <c r="K201" s="459" t="s">
        <v>277</v>
      </c>
      <c r="L201" s="431">
        <f t="shared" si="20"/>
        <v>0</v>
      </c>
      <c r="P201" s="300"/>
      <c r="W201" s="3" t="b">
        <f t="shared" si="23"/>
        <v>1</v>
      </c>
      <c r="X201" s="428">
        <f t="shared" si="21"/>
        <v>0</v>
      </c>
      <c r="Y201" s="428">
        <f t="shared" si="22"/>
        <v>0</v>
      </c>
    </row>
    <row r="202" spans="1:25" ht="52.5" customHeight="1" x14ac:dyDescent="0.3">
      <c r="A202" s="318">
        <f>'Unit Data from Audit Worksheet'!A241</f>
        <v>521</v>
      </c>
      <c r="B202" s="332" t="str">
        <f>'Unit Data from Audit Worksheet'!C241</f>
        <v>WS Capital Assets Schedule-Annual Depreciation</v>
      </c>
      <c r="C202" s="317" t="str">
        <f>'Unit Data from Audit Worksheet'!D241</f>
        <v>Infrastructure(other infrastructure) annual depreciation</v>
      </c>
      <c r="D202" s="337"/>
      <c r="E202" s="338">
        <f>'Unit Data from Audit Worksheet'!F241</f>
        <v>0</v>
      </c>
      <c r="F202" s="87"/>
      <c r="G202" s="333"/>
      <c r="H202" s="330">
        <f>'Unit Data from Audit Worksheet'!I241</f>
        <v>0</v>
      </c>
      <c r="I202" s="38"/>
      <c r="J202" s="329">
        <v>521</v>
      </c>
      <c r="K202" s="58" t="s">
        <v>278</v>
      </c>
      <c r="L202" s="431">
        <f t="shared" si="20"/>
        <v>0</v>
      </c>
      <c r="P202" s="300"/>
      <c r="W202" s="3" t="b">
        <f t="shared" si="23"/>
        <v>1</v>
      </c>
      <c r="X202" s="428">
        <f t="shared" si="21"/>
        <v>0</v>
      </c>
      <c r="Y202" s="428">
        <f t="shared" si="22"/>
        <v>0</v>
      </c>
    </row>
    <row r="203" spans="1:25" ht="42.75" customHeight="1" x14ac:dyDescent="0.3">
      <c r="A203" s="318">
        <f>'Unit Data from Audit Worksheet'!A242</f>
        <v>522</v>
      </c>
      <c r="B203" s="332" t="str">
        <f>'Unit Data from Audit Worksheet'!C242</f>
        <v>WS Capital Assets Schedule-Annual Depreciation</v>
      </c>
      <c r="C203" s="317" t="str">
        <f>'Unit Data from Audit Worksheet'!D242</f>
        <v>All other depreciable capital assets annual depreciation</v>
      </c>
      <c r="D203" s="337"/>
      <c r="E203" s="338">
        <f>'Unit Data from Audit Worksheet'!F242</f>
        <v>0</v>
      </c>
      <c r="F203" s="87"/>
      <c r="G203" s="333"/>
      <c r="H203" s="330">
        <f>'Unit Data from Audit Worksheet'!I242</f>
        <v>0</v>
      </c>
      <c r="I203" s="38"/>
      <c r="J203" s="329">
        <v>522</v>
      </c>
      <c r="K203" s="58" t="s">
        <v>279</v>
      </c>
      <c r="L203" s="431">
        <f t="shared" si="20"/>
        <v>0</v>
      </c>
      <c r="P203" s="300"/>
      <c r="W203" s="3" t="b">
        <f t="shared" si="23"/>
        <v>1</v>
      </c>
      <c r="X203" s="428">
        <f t="shared" si="21"/>
        <v>0</v>
      </c>
      <c r="Y203" s="428">
        <f t="shared" si="22"/>
        <v>0</v>
      </c>
    </row>
    <row r="204" spans="1:25" ht="42.75" customHeight="1" x14ac:dyDescent="0.3">
      <c r="A204" s="318">
        <f>'Unit Data from Audit Worksheet'!A245</f>
        <v>523</v>
      </c>
      <c r="B204" s="332" t="str">
        <f>'Unit Data from Audit Worksheet'!C245</f>
        <v>WS Capital Assets Schedule-Accumulated Depreciation</v>
      </c>
      <c r="C204" s="317" t="str">
        <f>'Unit Data from Audit Worksheet'!D245</f>
        <v>Building accumulated depreciation</v>
      </c>
      <c r="D204" s="337"/>
      <c r="E204" s="338">
        <f>'Unit Data from Audit Worksheet'!F245</f>
        <v>0</v>
      </c>
      <c r="F204" s="87"/>
      <c r="G204" s="333"/>
      <c r="H204" s="330">
        <f>'Unit Data from Audit Worksheet'!I245</f>
        <v>0</v>
      </c>
      <c r="I204" s="38"/>
      <c r="J204" s="329">
        <v>523</v>
      </c>
      <c r="K204" s="58" t="s">
        <v>280</v>
      </c>
      <c r="L204" s="431">
        <f t="shared" si="20"/>
        <v>0</v>
      </c>
      <c r="P204" s="300"/>
      <c r="W204" s="3" t="b">
        <f t="shared" si="23"/>
        <v>1</v>
      </c>
      <c r="X204" s="428">
        <f t="shared" si="21"/>
        <v>0</v>
      </c>
      <c r="Y204" s="428">
        <f t="shared" si="22"/>
        <v>0</v>
      </c>
    </row>
    <row r="205" spans="1:25" ht="51" customHeight="1" x14ac:dyDescent="0.3">
      <c r="A205" s="318">
        <f>'Unit Data from Audit Worksheet'!A246</f>
        <v>524</v>
      </c>
      <c r="B205" s="332" t="str">
        <f>'Unit Data from Audit Worksheet'!C246</f>
        <v>WS Capital Assets Schedule-Accumulated Depreciation</v>
      </c>
      <c r="C205" s="317" t="str">
        <f>'Unit Data from Audit Worksheet'!D246</f>
        <v>Plant / distributions systems / water lines accumulated depreciation</v>
      </c>
      <c r="D205" s="337"/>
      <c r="E205" s="338">
        <f>'Unit Data from Audit Worksheet'!F246</f>
        <v>0</v>
      </c>
      <c r="F205" s="87"/>
      <c r="G205" s="333"/>
      <c r="H205" s="330">
        <f>'Unit Data from Audit Worksheet'!I246</f>
        <v>0</v>
      </c>
      <c r="I205" s="38"/>
      <c r="J205" s="329">
        <v>524</v>
      </c>
      <c r="K205" s="58" t="s">
        <v>281</v>
      </c>
      <c r="L205" s="431">
        <f t="shared" si="20"/>
        <v>0</v>
      </c>
      <c r="P205" s="300"/>
      <c r="W205" s="3" t="b">
        <f t="shared" si="23"/>
        <v>1</v>
      </c>
      <c r="X205" s="428">
        <f t="shared" si="21"/>
        <v>0</v>
      </c>
      <c r="Y205" s="428">
        <f t="shared" si="22"/>
        <v>0</v>
      </c>
    </row>
    <row r="206" spans="1:25" ht="57.75" customHeight="1" x14ac:dyDescent="0.3">
      <c r="A206" s="318">
        <f>'Unit Data from Audit Worksheet'!A247</f>
        <v>525</v>
      </c>
      <c r="B206" s="332" t="str">
        <f>'Unit Data from Audit Worksheet'!C247</f>
        <v>WS Capital Assets Schedule-Accumulated Depreciation</v>
      </c>
      <c r="C206" s="317" t="str">
        <f>'Unit Data from Audit Worksheet'!D247</f>
        <v>Infrastructure(other infrastructure) accumulated depreciation</v>
      </c>
      <c r="D206" s="337"/>
      <c r="E206" s="338">
        <f>'Unit Data from Audit Worksheet'!F247</f>
        <v>0</v>
      </c>
      <c r="F206" s="87"/>
      <c r="G206" s="333"/>
      <c r="H206" s="330">
        <f>'Unit Data from Audit Worksheet'!I247</f>
        <v>0</v>
      </c>
      <c r="I206" s="38"/>
      <c r="J206" s="329">
        <v>525</v>
      </c>
      <c r="K206" s="58" t="s">
        <v>282</v>
      </c>
      <c r="L206" s="431">
        <f t="shared" si="20"/>
        <v>0</v>
      </c>
      <c r="P206" s="300"/>
      <c r="W206" s="3" t="b">
        <f t="shared" si="23"/>
        <v>1</v>
      </c>
      <c r="X206" s="428">
        <f t="shared" si="21"/>
        <v>0</v>
      </c>
      <c r="Y206" s="428">
        <f t="shared" si="22"/>
        <v>0</v>
      </c>
    </row>
    <row r="207" spans="1:25" ht="48" customHeight="1" x14ac:dyDescent="0.3">
      <c r="A207" s="318">
        <f>'Unit Data from Audit Worksheet'!A248</f>
        <v>526</v>
      </c>
      <c r="B207" s="332" t="str">
        <f>'Unit Data from Audit Worksheet'!C248</f>
        <v>WS Capital Assets Schedule-Accumulated Depreciation</v>
      </c>
      <c r="C207" s="317" t="str">
        <f>'Unit Data from Audit Worksheet'!D248</f>
        <v>All other depreciable capital assets accumulated depreciation</v>
      </c>
      <c r="D207" s="337"/>
      <c r="E207" s="338">
        <f>'Unit Data from Audit Worksheet'!F248</f>
        <v>0</v>
      </c>
      <c r="F207" s="87"/>
      <c r="G207" s="333"/>
      <c r="H207" s="330">
        <f>'Unit Data from Audit Worksheet'!I248</f>
        <v>0</v>
      </c>
      <c r="I207" s="38"/>
      <c r="J207" s="329">
        <v>526</v>
      </c>
      <c r="K207" s="58" t="s">
        <v>283</v>
      </c>
      <c r="L207" s="431">
        <f t="shared" si="20"/>
        <v>0</v>
      </c>
      <c r="P207" s="300"/>
      <c r="W207" s="3" t="b">
        <f t="shared" si="23"/>
        <v>1</v>
      </c>
      <c r="X207" s="428">
        <f t="shared" si="21"/>
        <v>0</v>
      </c>
      <c r="Y207" s="428">
        <f t="shared" si="22"/>
        <v>0</v>
      </c>
    </row>
    <row r="208" spans="1:25" ht="50.25" customHeight="1" x14ac:dyDescent="0.3">
      <c r="A208" s="318">
        <f>'Unit Data from Audit Worksheet'!A253</f>
        <v>527</v>
      </c>
      <c r="B208" s="332" t="str">
        <f>'Unit Data from Audit Worksheet'!C253</f>
        <v>Electric Assets</v>
      </c>
      <c r="C208" s="317" t="str">
        <f>'Unit Data from Audit Worksheet'!D253</f>
        <v>Total Assets Gross value not being depreciated for Electric Fund</v>
      </c>
      <c r="D208" s="337"/>
      <c r="E208" s="338">
        <f>'Unit Data from Audit Worksheet'!F253</f>
        <v>0</v>
      </c>
      <c r="F208" s="87"/>
      <c r="G208" s="333"/>
      <c r="H208" s="330">
        <f>'Unit Data from Audit Worksheet'!I253</f>
        <v>0</v>
      </c>
      <c r="I208" s="38"/>
      <c r="J208" s="329">
        <v>527</v>
      </c>
      <c r="K208" s="58" t="s">
        <v>284</v>
      </c>
      <c r="L208" s="431">
        <f t="shared" si="20"/>
        <v>0</v>
      </c>
      <c r="P208" s="300"/>
      <c r="W208" s="3" t="b">
        <f t="shared" si="23"/>
        <v>1</v>
      </c>
      <c r="X208" s="428">
        <f t="shared" si="21"/>
        <v>0</v>
      </c>
      <c r="Y208" s="428">
        <f t="shared" si="22"/>
        <v>0</v>
      </c>
    </row>
    <row r="209" spans="1:27" ht="54.75" customHeight="1" x14ac:dyDescent="0.3">
      <c r="A209" s="318">
        <f>'Unit Data from Audit Worksheet'!A254</f>
        <v>356</v>
      </c>
      <c r="B209" s="332" t="str">
        <f>'Unit Data from Audit Worksheet'!C254</f>
        <v>Electric Assets</v>
      </c>
      <c r="C209" s="317" t="str">
        <f>'Unit Data from Audit Worksheet'!D254</f>
        <v>Total Assets Gross value of assets being depreciated for Electric Fund</v>
      </c>
      <c r="D209" s="337"/>
      <c r="E209" s="338">
        <f>'Unit Data from Audit Worksheet'!F254</f>
        <v>0</v>
      </c>
      <c r="F209" s="87"/>
      <c r="G209" s="333"/>
      <c r="H209" s="330">
        <f>'Unit Data from Audit Worksheet'!I254</f>
        <v>0</v>
      </c>
      <c r="I209" s="38"/>
      <c r="J209" s="329">
        <v>356</v>
      </c>
      <c r="K209" s="58" t="s">
        <v>338</v>
      </c>
      <c r="L209" s="431">
        <f t="shared" si="20"/>
        <v>0</v>
      </c>
      <c r="P209" s="300"/>
      <c r="W209" s="3" t="b">
        <f t="shared" si="23"/>
        <v>1</v>
      </c>
      <c r="X209" s="428">
        <f t="shared" si="21"/>
        <v>0</v>
      </c>
      <c r="Y209" s="428">
        <f t="shared" si="22"/>
        <v>0</v>
      </c>
    </row>
    <row r="210" spans="1:27" ht="54.75" customHeight="1" x14ac:dyDescent="0.3">
      <c r="A210" s="318">
        <f>'Unit Data from Audit Worksheet'!A255</f>
        <v>357</v>
      </c>
      <c r="B210" s="332" t="str">
        <f>'Unit Data from Audit Worksheet'!C255</f>
        <v>Electric Accumulated Depreciation</v>
      </c>
      <c r="C210" s="317" t="str">
        <f>'Unit Data from Audit Worksheet'!D255</f>
        <v>Total accumulated depreciation for Electric Fund assets</v>
      </c>
      <c r="D210" s="337"/>
      <c r="E210" s="338">
        <f>'Unit Data from Audit Worksheet'!F255</f>
        <v>0</v>
      </c>
      <c r="F210" s="87"/>
      <c r="G210" s="333"/>
      <c r="H210" s="330">
        <f>'Unit Data from Audit Worksheet'!I255</f>
        <v>0</v>
      </c>
      <c r="I210" s="38"/>
      <c r="J210" s="329">
        <v>357</v>
      </c>
      <c r="K210" s="58" t="s">
        <v>339</v>
      </c>
      <c r="L210" s="431">
        <f t="shared" si="20"/>
        <v>0</v>
      </c>
      <c r="P210" s="300"/>
      <c r="W210" s="3" t="b">
        <f t="shared" si="23"/>
        <v>1</v>
      </c>
      <c r="X210" s="428">
        <f t="shared" si="21"/>
        <v>0</v>
      </c>
      <c r="Y210" s="428">
        <f t="shared" si="22"/>
        <v>0</v>
      </c>
    </row>
    <row r="211" spans="1:27" ht="191.25" customHeight="1" x14ac:dyDescent="0.3">
      <c r="A211" s="318">
        <f>'Unit Data from Audit Worksheet'!A257</f>
        <v>337</v>
      </c>
      <c r="B211" s="332" t="str">
        <f>'Unit Data from Audit Worksheet'!C257</f>
        <v>Long-Term Liability Note - Governmental Activities</v>
      </c>
      <c r="C211" s="332"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37"/>
      <c r="E211" s="338">
        <f>'Unit Data from Audit Worksheet'!F257</f>
        <v>0</v>
      </c>
      <c r="F211" s="331">
        <f>IF(L211&lt;0,"Error: Enter as a positive.",)</f>
        <v>0</v>
      </c>
      <c r="G211" s="333"/>
      <c r="H211" s="330">
        <f>'Unit Data from Audit Worksheet'!I257</f>
        <v>0</v>
      </c>
      <c r="I211" s="38"/>
      <c r="J211" s="329">
        <v>337</v>
      </c>
      <c r="K211" s="328" t="s">
        <v>253</v>
      </c>
      <c r="L211" s="431">
        <f t="shared" si="20"/>
        <v>0</v>
      </c>
      <c r="P211" s="300"/>
      <c r="W211" s="3" t="b">
        <f t="shared" si="23"/>
        <v>1</v>
      </c>
      <c r="X211" s="428">
        <f t="shared" si="21"/>
        <v>0</v>
      </c>
      <c r="Y211" s="428">
        <f t="shared" si="22"/>
        <v>0</v>
      </c>
    </row>
    <row r="212" spans="1:27" ht="76.5" customHeight="1" x14ac:dyDescent="0.3">
      <c r="A212" s="318">
        <f>'Unit Data from Audit Worksheet'!A258</f>
        <v>343</v>
      </c>
      <c r="B212" s="332" t="str">
        <f>'Unit Data from Audit Worksheet'!C258</f>
        <v>Long-Term Liability Note - Governmental Activities</v>
      </c>
      <c r="C212" s="317" t="str">
        <f>'Unit Data from Audit Worksheet'!D258</f>
        <v>Decreases made (principal paid) on Long-Term Debt in current fiscal year.  Reduce for debt refunding.</v>
      </c>
      <c r="D212" s="337"/>
      <c r="E212" s="338">
        <f>'Unit Data from Audit Worksheet'!F258</f>
        <v>0</v>
      </c>
      <c r="F212" s="331">
        <f>IF(L212&lt;0,"Error: Enter as a positive.",)</f>
        <v>0</v>
      </c>
      <c r="G212" s="333"/>
      <c r="H212" s="330">
        <f>'Unit Data from Audit Worksheet'!I258</f>
        <v>0</v>
      </c>
      <c r="I212" s="38"/>
      <c r="J212" s="329">
        <v>343</v>
      </c>
      <c r="K212" s="328" t="s">
        <v>254</v>
      </c>
      <c r="L212" s="431">
        <f t="shared" si="20"/>
        <v>0</v>
      </c>
      <c r="P212" s="300"/>
      <c r="W212" s="3" t="b">
        <f t="shared" si="23"/>
        <v>1</v>
      </c>
      <c r="X212" s="428">
        <f t="shared" si="21"/>
        <v>0</v>
      </c>
      <c r="Y212" s="428">
        <f t="shared" si="22"/>
        <v>0</v>
      </c>
    </row>
    <row r="213" spans="1:27" ht="193.5" customHeight="1" x14ac:dyDescent="0.3">
      <c r="A213" s="318">
        <f>'Unit Data from Audit Worksheet'!A259</f>
        <v>82</v>
      </c>
      <c r="B213" s="332" t="str">
        <f>'Unit Data from Audit Worksheet'!C259</f>
        <v>Long-Term Liability Note - Water Sewer Activities</v>
      </c>
      <c r="C213" s="332"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37"/>
      <c r="E213" s="338">
        <f>'Unit Data from Audit Worksheet'!F259</f>
        <v>0</v>
      </c>
      <c r="F213" s="331">
        <f>IF(L213&lt;0,"Error: Enter as a positive.",)</f>
        <v>0</v>
      </c>
      <c r="G213" s="333"/>
      <c r="H213" s="330">
        <f>'Unit Data from Audit Worksheet'!I259</f>
        <v>0</v>
      </c>
      <c r="I213" s="38"/>
      <c r="J213" s="329">
        <v>82</v>
      </c>
      <c r="K213" s="69" t="s">
        <v>340</v>
      </c>
      <c r="L213" s="431">
        <f t="shared" si="20"/>
        <v>0</v>
      </c>
      <c r="P213" s="300"/>
      <c r="W213" s="3" t="b">
        <f t="shared" si="23"/>
        <v>1</v>
      </c>
      <c r="X213" s="428">
        <f t="shared" si="21"/>
        <v>0</v>
      </c>
      <c r="Y213" s="428">
        <f t="shared" si="22"/>
        <v>0</v>
      </c>
    </row>
    <row r="214" spans="1:27" ht="206.25" customHeight="1" x14ac:dyDescent="0.3">
      <c r="A214" s="318">
        <f>'Unit Data from Audit Worksheet'!A260</f>
        <v>359</v>
      </c>
      <c r="B214" s="332" t="str">
        <f>'Unit Data from Audit Worksheet'!C260</f>
        <v>Long-Term Liability Note - Electric Activities</v>
      </c>
      <c r="C214" s="332"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37"/>
      <c r="E214" s="338">
        <f>'Unit Data from Audit Worksheet'!F260</f>
        <v>0</v>
      </c>
      <c r="F214" s="331">
        <f>IF(L214&lt;0,"Error: Enter as a positive.",)</f>
        <v>0</v>
      </c>
      <c r="G214" s="333"/>
      <c r="H214" s="330">
        <f>'Unit Data from Audit Worksheet'!I260</f>
        <v>0</v>
      </c>
      <c r="I214" s="38"/>
      <c r="J214" s="329">
        <v>359</v>
      </c>
      <c r="K214" s="328" t="s">
        <v>255</v>
      </c>
      <c r="L214" s="431">
        <f t="shared" si="20"/>
        <v>0</v>
      </c>
      <c r="P214" s="300"/>
      <c r="W214" s="3" t="b">
        <f t="shared" si="23"/>
        <v>1</v>
      </c>
      <c r="X214" s="428">
        <f t="shared" si="21"/>
        <v>0</v>
      </c>
      <c r="Y214" s="428">
        <f t="shared" si="22"/>
        <v>0</v>
      </c>
    </row>
    <row r="215" spans="1:27" ht="76.5" customHeight="1" x14ac:dyDescent="0.3">
      <c r="A215" s="318">
        <f>'Unit Data from Audit Worksheet'!A262</f>
        <v>622</v>
      </c>
      <c r="B215" s="332" t="str">
        <f>'Unit Data from Audit Worksheet'!C262</f>
        <v>FS., Pension note or RSI</v>
      </c>
      <c r="C215" s="332"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37"/>
      <c r="E215" s="338">
        <f>'Unit Data from Audit Worksheet'!F262</f>
        <v>0</v>
      </c>
      <c r="F215" s="331"/>
      <c r="G215" s="333"/>
      <c r="H215" s="330"/>
      <c r="I215" s="38"/>
      <c r="J215" s="329">
        <v>622</v>
      </c>
      <c r="K215" s="335" t="s">
        <v>438</v>
      </c>
      <c r="L215" s="431">
        <f t="shared" si="20"/>
        <v>0</v>
      </c>
      <c r="P215" s="300"/>
      <c r="W215" s="3" t="b">
        <f t="shared" si="23"/>
        <v>1</v>
      </c>
      <c r="X215" s="428">
        <f t="shared" si="21"/>
        <v>0</v>
      </c>
      <c r="Y215" s="428">
        <f t="shared" si="22"/>
        <v>0</v>
      </c>
    </row>
    <row r="216" spans="1:27" ht="138.75" customHeight="1" x14ac:dyDescent="0.3">
      <c r="A216" s="318">
        <f>'Unit Data from Audit Worksheet'!A263</f>
        <v>577</v>
      </c>
      <c r="B216" s="332" t="str">
        <f>'Unit Data from Audit Worksheet'!C263</f>
        <v>Pension Notes</v>
      </c>
      <c r="C216" s="332"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37"/>
      <c r="E216" s="338" t="str">
        <f>IF('Unit Data from Audit Worksheet'!F263="Yes",1,IF('Unit Data from Audit Worksheet'!F263="No",2,IF('Unit Data from Audit Worksheet'!F263&lt;1,"",IF('Unit Data from Audit Worksheet'!F263=0&gt;2,""))))</f>
        <v/>
      </c>
      <c r="F216" s="331"/>
      <c r="G216" s="333"/>
      <c r="H216" s="330"/>
      <c r="I216" s="38"/>
      <c r="J216" s="329">
        <v>577</v>
      </c>
      <c r="K216" s="335" t="s">
        <v>367</v>
      </c>
      <c r="L216" s="431" t="str">
        <f t="shared" si="20"/>
        <v/>
      </c>
      <c r="P216" s="300"/>
      <c r="W216" s="3" t="b">
        <f t="shared" si="23"/>
        <v>1</v>
      </c>
      <c r="X216" s="428" t="e">
        <f t="shared" si="21"/>
        <v>#VALUE!</v>
      </c>
      <c r="Y216" s="428" t="e">
        <f t="shared" si="22"/>
        <v>#VALUE!</v>
      </c>
    </row>
    <row r="217" spans="1:27" ht="115.5" customHeight="1" x14ac:dyDescent="0.3">
      <c r="A217" s="460">
        <f>'Unit Data from Audit Worksheet'!A265</f>
        <v>598</v>
      </c>
      <c r="B217" s="332" t="str">
        <f>'Unit Data from Audit Worksheet'!C265</f>
        <v>LEO Note</v>
      </c>
      <c r="C217" s="317" t="str">
        <f>'Unit Data from Audit Worksheet'!D265</f>
        <v>Amount the unit paid out in benefits under LEO special separation allowance to retired law enforcement officers this fiscal year if you report under GASB 68 or GASB 73.</v>
      </c>
      <c r="D217" s="337"/>
      <c r="E217" s="338">
        <f>'Unit Data from Audit Worksheet'!F265</f>
        <v>0</v>
      </c>
      <c r="F217" s="331">
        <f>IF(L217&lt;0,"Error: Enter as a positive.",)</f>
        <v>0</v>
      </c>
      <c r="G217" s="333"/>
      <c r="H217" s="330">
        <f>'Unit Data from Audit Worksheet'!I265</f>
        <v>0</v>
      </c>
      <c r="I217" s="38"/>
      <c r="J217" s="329">
        <v>598</v>
      </c>
      <c r="K217" s="94" t="s">
        <v>405</v>
      </c>
      <c r="L217" s="431">
        <f t="shared" si="20"/>
        <v>0</v>
      </c>
      <c r="P217" s="300"/>
      <c r="W217" s="3" t="b">
        <f t="shared" si="23"/>
        <v>1</v>
      </c>
      <c r="X217" s="428">
        <f t="shared" si="21"/>
        <v>0</v>
      </c>
      <c r="Y217" s="428">
        <f t="shared" si="22"/>
        <v>0</v>
      </c>
    </row>
    <row r="218" spans="1:27" ht="84" customHeight="1" x14ac:dyDescent="0.3">
      <c r="A218" s="318">
        <f>'Unit Data from Audit Worksheet'!A266</f>
        <v>599</v>
      </c>
      <c r="B218" s="332" t="str">
        <f>'Unit Data from Audit Worksheet'!C266</f>
        <v>LEO Note</v>
      </c>
      <c r="C218" s="317" t="str">
        <f>'Unit Data from Audit Worksheet'!D266</f>
        <v>The total LEO pension liability if you report under GASB 68 or GASB 73.</v>
      </c>
      <c r="D218" s="337"/>
      <c r="E218" s="338">
        <f>'Unit Data from Audit Worksheet'!F266</f>
        <v>0</v>
      </c>
      <c r="F218" s="331">
        <f>IF(L218&lt;0,"Error: Enter as a positive.",)</f>
        <v>0</v>
      </c>
      <c r="G218" s="333"/>
      <c r="H218" s="330">
        <f>'Unit Data from Audit Worksheet'!I266</f>
        <v>0</v>
      </c>
      <c r="I218" s="38"/>
      <c r="J218" s="329">
        <v>599</v>
      </c>
      <c r="K218" s="93" t="s">
        <v>404</v>
      </c>
      <c r="L218" s="431">
        <f t="shared" si="20"/>
        <v>0</v>
      </c>
      <c r="M218" s="461"/>
      <c r="P218" s="300"/>
      <c r="W218" s="3" t="b">
        <f t="shared" si="23"/>
        <v>1</v>
      </c>
      <c r="X218" s="428">
        <f t="shared" si="21"/>
        <v>0</v>
      </c>
      <c r="Y218" s="428">
        <f t="shared" si="22"/>
        <v>0</v>
      </c>
    </row>
    <row r="219" spans="1:27" ht="102.75" customHeight="1" x14ac:dyDescent="0.3">
      <c r="A219" s="318">
        <f>'Unit Data from Audit Worksheet'!A267</f>
        <v>602</v>
      </c>
      <c r="B219" s="332" t="str">
        <f>'Unit Data from Audit Worksheet'!C267</f>
        <v>LEO Note</v>
      </c>
      <c r="C219" s="317" t="str">
        <f>'Unit Data from Audit Worksheet'!D267</f>
        <v>If you have LEO pension assets and are reporting under GASB 68 please enter "Plan Fiduciary Net Position" which can be found on your RSI schedules and the Notes.</v>
      </c>
      <c r="D219" s="337"/>
      <c r="E219" s="338">
        <f>'Unit Data from Audit Worksheet'!F267</f>
        <v>0</v>
      </c>
      <c r="F219" s="331">
        <f>IF(L219&lt;0,"Error: Enter as a positive.",)</f>
        <v>0</v>
      </c>
      <c r="G219" s="333"/>
      <c r="H219" s="330">
        <f>'Unit Data from Audit Worksheet'!I267</f>
        <v>0</v>
      </c>
      <c r="I219" s="38"/>
      <c r="J219" s="329">
        <v>602</v>
      </c>
      <c r="K219" s="26" t="s">
        <v>406</v>
      </c>
      <c r="L219" s="431">
        <f t="shared" si="20"/>
        <v>0</v>
      </c>
      <c r="M219" s="461"/>
      <c r="P219" s="300"/>
      <c r="W219" s="3" t="b">
        <f t="shared" si="23"/>
        <v>1</v>
      </c>
      <c r="X219" s="428">
        <f t="shared" si="21"/>
        <v>0</v>
      </c>
      <c r="Y219" s="428">
        <f t="shared" si="22"/>
        <v>0</v>
      </c>
    </row>
    <row r="220" spans="1:27" ht="123" customHeight="1" x14ac:dyDescent="0.3">
      <c r="A220" s="318">
        <f>'Unit Data from Audit Worksheet'!A268</f>
        <v>619</v>
      </c>
      <c r="B220" s="332"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31" t="str">
        <f>IF(H220=L220,"","Column L does not equal Column H")</f>
        <v/>
      </c>
      <c r="G220" s="333"/>
      <c r="H220" s="103">
        <f>ROUND(IFERROR((L219/L218)*100,0),1)</f>
        <v>0</v>
      </c>
      <c r="I220" s="38"/>
      <c r="J220" s="320">
        <v>619</v>
      </c>
      <c r="K220" s="102" t="s">
        <v>532</v>
      </c>
      <c r="L220" s="747">
        <f t="shared" si="20"/>
        <v>0</v>
      </c>
      <c r="M220" s="461"/>
      <c r="P220" s="462"/>
      <c r="Q220" s="463">
        <f>IF(H220=L220,0,1)</f>
        <v>0</v>
      </c>
      <c r="W220" s="3" t="b">
        <f t="shared" si="23"/>
        <v>1</v>
      </c>
      <c r="X220" s="428">
        <f t="shared" si="21"/>
        <v>0</v>
      </c>
      <c r="Y220" s="428">
        <f t="shared" si="22"/>
        <v>0</v>
      </c>
    </row>
    <row r="221" spans="1:27" ht="113.25" customHeight="1" x14ac:dyDescent="0.3">
      <c r="A221" s="318">
        <v>621</v>
      </c>
      <c r="B221" s="57" t="s">
        <v>430</v>
      </c>
      <c r="C221" s="464" t="str">
        <f>'Unit Data from Audit Worksheet'!D270</f>
        <v xml:space="preserve">Unit's share of Retirement Health Benefit Fund Net OPEB Liability ($s)
- unit of government is a participating employer in the State's RHBF </v>
      </c>
      <c r="D221" s="95"/>
      <c r="E221" s="338">
        <f>'Unit Data from Audit Worksheet'!F270</f>
        <v>0</v>
      </c>
      <c r="F221" s="331">
        <f>IF(L221&lt;0,"Error: Enter as a positive.",)</f>
        <v>0</v>
      </c>
      <c r="G221" s="128"/>
      <c r="H221" s="330"/>
      <c r="I221" s="38"/>
      <c r="J221" s="465">
        <v>621</v>
      </c>
      <c r="K221" s="129" t="s">
        <v>537</v>
      </c>
      <c r="L221" s="431">
        <f t="shared" si="20"/>
        <v>0</v>
      </c>
      <c r="M221" s="461"/>
      <c r="P221" s="465"/>
      <c r="Q221" s="282"/>
      <c r="W221" s="3" t="b">
        <f t="shared" si="23"/>
        <v>1</v>
      </c>
      <c r="X221" s="428">
        <f t="shared" si="21"/>
        <v>0</v>
      </c>
      <c r="Y221" s="428">
        <f t="shared" si="22"/>
        <v>0</v>
      </c>
    </row>
    <row r="222" spans="1:27" s="18" customFormat="1" ht="127.5" customHeight="1" x14ac:dyDescent="0.3">
      <c r="A222" s="460">
        <f>'Unit Data from Audit Worksheet'!A271</f>
        <v>547</v>
      </c>
      <c r="B222" s="332" t="str">
        <f>'Unit Data from Audit Worksheet'!C271</f>
        <v>OPEB Note</v>
      </c>
      <c r="C222" s="332"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37"/>
      <c r="E222" s="338">
        <f>'Unit Data from Audit Worksheet'!F271</f>
        <v>0</v>
      </c>
      <c r="F222" s="331" t="str">
        <f>IF(L225&lt;1,"Please answer this question","")</f>
        <v>Please answer this question</v>
      </c>
      <c r="G222" s="333"/>
      <c r="H222" s="330">
        <f>'Unit Data from Audit Worksheet'!I271</f>
        <v>0</v>
      </c>
      <c r="I222" s="38"/>
      <c r="J222" s="329">
        <v>547</v>
      </c>
      <c r="K222" s="466" t="s">
        <v>328</v>
      </c>
      <c r="L222" s="431">
        <f t="shared" si="20"/>
        <v>0</v>
      </c>
      <c r="M222" s="452"/>
      <c r="P222" s="300"/>
      <c r="Q222" s="421"/>
      <c r="R222" s="3"/>
      <c r="W222" s="3" t="b">
        <f t="shared" si="23"/>
        <v>1</v>
      </c>
      <c r="X222" s="428">
        <f t="shared" si="21"/>
        <v>0</v>
      </c>
      <c r="Y222" s="428">
        <f t="shared" si="22"/>
        <v>0</v>
      </c>
      <c r="AA222" s="3"/>
    </row>
    <row r="223" spans="1:27" s="18" customFormat="1" ht="99" customHeight="1" x14ac:dyDescent="0.3">
      <c r="A223" s="318">
        <f>'Unit Data from Audit Worksheet'!A272</f>
        <v>659</v>
      </c>
      <c r="B223" s="332" t="str">
        <f>'Unit Data from Audit Worksheet'!C272</f>
        <v>OPEB
 Note or RSI</v>
      </c>
      <c r="C223" s="317" t="str">
        <f>'Unit Data from Audit Worksheet'!D272</f>
        <v>Total OPEB benefits - total OPEB liability
If you do not provide benefit, please enter 0</v>
      </c>
      <c r="D223" s="337"/>
      <c r="E223" s="338">
        <f>'Unit Data from Audit Worksheet'!F272</f>
        <v>0</v>
      </c>
      <c r="F223" s="331">
        <f>IF(L223&lt;0,"Error: Enter as a positive.",)</f>
        <v>0</v>
      </c>
      <c r="G223" s="467" t="s">
        <v>749</v>
      </c>
      <c r="H223" s="330">
        <f>'Unit Data from Audit Worksheet'!I272</f>
        <v>0</v>
      </c>
      <c r="I223" s="38"/>
      <c r="J223" s="320">
        <v>659</v>
      </c>
      <c r="K223" s="319" t="s">
        <v>499</v>
      </c>
      <c r="L223" s="445">
        <f t="shared" si="20"/>
        <v>0</v>
      </c>
      <c r="M223" s="452"/>
      <c r="P223" s="462"/>
      <c r="Q223" s="421"/>
      <c r="R223" s="3"/>
      <c r="W223" s="3" t="b">
        <f t="shared" si="23"/>
        <v>1</v>
      </c>
      <c r="X223" s="428">
        <f t="shared" si="21"/>
        <v>0</v>
      </c>
      <c r="Y223" s="428">
        <f t="shared" si="22"/>
        <v>0</v>
      </c>
      <c r="AA223" s="3"/>
    </row>
    <row r="224" spans="1:27" s="18" customFormat="1" ht="131.25" customHeight="1" x14ac:dyDescent="0.3">
      <c r="A224" s="318">
        <f>'Unit Data from Audit Worksheet'!A273</f>
        <v>660</v>
      </c>
      <c r="B224" s="332" t="str">
        <f>'Unit Data from Audit Worksheet'!C273</f>
        <v>OPEB
 Note or RSI</v>
      </c>
      <c r="C224" s="317" t="str">
        <f>'Unit Data from Audit Worksheet'!D273</f>
        <v>Total OPEB benefits- OPEB plan fiduciary net position
If no fiduciary net position, enter 0</v>
      </c>
      <c r="D224" s="337"/>
      <c r="E224" s="338">
        <f>'Unit Data from Audit Worksheet'!F273</f>
        <v>0</v>
      </c>
      <c r="F224" s="327">
        <f>IF(L224&lt;0,"Note: Number is normally positive.",)</f>
        <v>0</v>
      </c>
      <c r="G224" s="467" t="s">
        <v>749</v>
      </c>
      <c r="H224" s="330">
        <f>'Unit Data from Audit Worksheet'!I273</f>
        <v>0</v>
      </c>
      <c r="I224" s="38"/>
      <c r="J224" s="320">
        <v>660</v>
      </c>
      <c r="K224" s="319" t="s">
        <v>500</v>
      </c>
      <c r="L224" s="445">
        <f t="shared" si="20"/>
        <v>0</v>
      </c>
      <c r="M224" s="452"/>
      <c r="P224" s="462"/>
      <c r="Q224" s="421"/>
      <c r="R224" s="3"/>
      <c r="W224" s="3" t="b">
        <f t="shared" si="23"/>
        <v>1</v>
      </c>
      <c r="X224" s="428">
        <f t="shared" si="21"/>
        <v>0</v>
      </c>
      <c r="Y224" s="428">
        <f t="shared" si="22"/>
        <v>0</v>
      </c>
      <c r="AA224" s="3"/>
    </row>
    <row r="225" spans="1:27" ht="134.25" customHeight="1" x14ac:dyDescent="0.3">
      <c r="A225" s="318">
        <f>'Unit Data from Audit Worksheet'!A274</f>
        <v>661</v>
      </c>
      <c r="B225" s="332" t="str">
        <f>'Unit Data from Audit Worksheet'!C274</f>
        <v>OPEB
RSI</v>
      </c>
      <c r="C225" s="317"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16">
        <f>'Unit Data from Audit Worksheet'!F274</f>
        <v>0</v>
      </c>
      <c r="F225" s="331" t="str">
        <f>IF(H225=L225,"","Column L does not equal Column H")</f>
        <v/>
      </c>
      <c r="G225" s="467" t="s">
        <v>749</v>
      </c>
      <c r="H225" s="175">
        <f>ROUND(IFERROR((L224/L223)*100,0),1)</f>
        <v>0</v>
      </c>
      <c r="I225" s="38"/>
      <c r="J225" s="320">
        <v>661</v>
      </c>
      <c r="K225" s="335" t="s">
        <v>503</v>
      </c>
      <c r="L225" s="468">
        <f>IF(D225="",E225,D225)</f>
        <v>0</v>
      </c>
      <c r="P225" s="462"/>
      <c r="Q225" s="463">
        <f>IF(H225=L225,0,1)</f>
        <v>0</v>
      </c>
      <c r="W225" s="3" t="b">
        <f t="shared" si="23"/>
        <v>1</v>
      </c>
      <c r="X225" s="428">
        <f t="shared" si="21"/>
        <v>0</v>
      </c>
      <c r="Y225" s="428">
        <f t="shared" si="22"/>
        <v>0</v>
      </c>
    </row>
    <row r="226" spans="1:27" ht="65.25" customHeight="1" x14ac:dyDescent="0.3">
      <c r="A226" s="318">
        <f>'Unit Data from Audit Worksheet'!A277</f>
        <v>371</v>
      </c>
      <c r="B226" s="332" t="str">
        <f>'Unit Data from Audit Worksheet'!C277</f>
        <v>Transfer Note</v>
      </c>
      <c r="C226" s="317" t="str">
        <f>'Unit Data from Audit Worksheet'!D277</f>
        <v>Amount of Transfers from the General Fund to the Debt Service Fund (Enter as positive)</v>
      </c>
      <c r="D226" s="337"/>
      <c r="E226" s="338">
        <f>'Unit Data from Audit Worksheet'!F277</f>
        <v>0</v>
      </c>
      <c r="F226" s="331">
        <f>IF(L226&lt;0,"Error: Enter as a positive.",)</f>
        <v>0</v>
      </c>
      <c r="G226" s="333"/>
      <c r="H226" s="330">
        <f>'Unit Data from Audit Worksheet'!I277</f>
        <v>0</v>
      </c>
      <c r="I226" s="38"/>
      <c r="J226" s="39">
        <v>371</v>
      </c>
      <c r="K226" s="328" t="s">
        <v>257</v>
      </c>
      <c r="L226" s="431">
        <f t="shared" si="20"/>
        <v>0</v>
      </c>
      <c r="P226" s="306"/>
      <c r="Q226" s="3"/>
      <c r="W226" s="3" t="b">
        <f t="shared" si="23"/>
        <v>1</v>
      </c>
      <c r="X226" s="428">
        <f t="shared" si="21"/>
        <v>0</v>
      </c>
      <c r="Y226" s="428">
        <f t="shared" si="22"/>
        <v>0</v>
      </c>
    </row>
    <row r="227" spans="1:27" ht="63" customHeight="1" x14ac:dyDescent="0.3">
      <c r="A227" s="318">
        <f>'Unit Data from Audit Worksheet'!A278</f>
        <v>513</v>
      </c>
      <c r="B227" s="332" t="str">
        <f>'Unit Data from Audit Worksheet'!C278</f>
        <v>Transfer Note</v>
      </c>
      <c r="C227" s="317" t="str">
        <f>'Unit Data from Audit Worksheet'!D278</f>
        <v>Amount of Transfers from the General Fund to the Electric Fund  (Enter as positive)</v>
      </c>
      <c r="D227" s="337"/>
      <c r="E227" s="338">
        <f>'Unit Data from Audit Worksheet'!F278</f>
        <v>0</v>
      </c>
      <c r="F227" s="331">
        <f>IF(L227&lt;0,"Error: Enter as a positive.",)</f>
        <v>0</v>
      </c>
      <c r="G227" s="333"/>
      <c r="H227" s="330">
        <f>'Unit Data from Audit Worksheet'!I278</f>
        <v>0</v>
      </c>
      <c r="I227" s="38"/>
      <c r="J227" s="329">
        <v>513</v>
      </c>
      <c r="K227" s="328" t="s">
        <v>258</v>
      </c>
      <c r="L227" s="431">
        <f t="shared" si="20"/>
        <v>0</v>
      </c>
      <c r="P227" s="300"/>
      <c r="W227" s="3" t="b">
        <f t="shared" si="23"/>
        <v>1</v>
      </c>
      <c r="X227" s="428">
        <f t="shared" si="21"/>
        <v>0</v>
      </c>
      <c r="Y227" s="428">
        <f t="shared" si="22"/>
        <v>0</v>
      </c>
    </row>
    <row r="228" spans="1:27" ht="89.25" customHeight="1" x14ac:dyDescent="0.3">
      <c r="A228" s="318">
        <f>'Unit Data from Audit Worksheet'!A279</f>
        <v>514</v>
      </c>
      <c r="B228" s="332" t="str">
        <f>'Unit Data from Audit Worksheet'!C279</f>
        <v>Transfer Note</v>
      </c>
      <c r="C228" s="317" t="str">
        <f>'Unit Data from Audit Worksheet'!D279</f>
        <v>Amount of Transfers from the Electric Fund to the General Fund  (Enter as positive)
Include:  Payment in Lieu of Taxes (PILOT)</v>
      </c>
      <c r="D228" s="337"/>
      <c r="E228" s="338">
        <f>'Unit Data from Audit Worksheet'!F279</f>
        <v>0</v>
      </c>
      <c r="F228" s="331">
        <f>IF(L228&lt;0,"Error: Enter as a positive.",)</f>
        <v>0</v>
      </c>
      <c r="G228" s="333"/>
      <c r="H228" s="330">
        <f>'Unit Data from Audit Worksheet'!I279</f>
        <v>0</v>
      </c>
      <c r="I228" s="38"/>
      <c r="J228" s="329">
        <v>514</v>
      </c>
      <c r="K228" s="328" t="s">
        <v>259</v>
      </c>
      <c r="L228" s="431">
        <f t="shared" si="20"/>
        <v>0</v>
      </c>
      <c r="P228" s="300"/>
      <c r="W228" s="3" t="b">
        <f t="shared" si="23"/>
        <v>1</v>
      </c>
      <c r="X228" s="428">
        <f t="shared" si="21"/>
        <v>0</v>
      </c>
      <c r="Y228" s="428">
        <f t="shared" si="22"/>
        <v>0</v>
      </c>
    </row>
    <row r="229" spans="1:27" ht="89.25" customHeight="1" x14ac:dyDescent="0.3">
      <c r="A229" s="447">
        <f>'Unit Data from Audit Worksheet'!A280</f>
        <v>990</v>
      </c>
      <c r="B229" s="336" t="str">
        <f>'Unit Data from Audit Worksheet'!C280</f>
        <v>Transfer Note</v>
      </c>
      <c r="C229" s="448" t="str">
        <f>'Unit Data from Audit Worksheet'!D280</f>
        <v>Amount of transfer out to the General Fund that is for Payment in Lieu of Taxes (PILOT)</v>
      </c>
      <c r="D229" s="337"/>
      <c r="E229" s="338">
        <f>'Unit Data from Audit Worksheet'!F280</f>
        <v>0</v>
      </c>
      <c r="F229" s="331"/>
      <c r="G229" s="333"/>
      <c r="H229" s="330">
        <f>'Unit Data from Audit Worksheet'!I280</f>
        <v>0</v>
      </c>
      <c r="I229" s="38"/>
      <c r="J229" s="347">
        <v>990</v>
      </c>
      <c r="K229" s="126" t="s">
        <v>603</v>
      </c>
      <c r="L229" s="431">
        <f t="shared" si="20"/>
        <v>0</v>
      </c>
      <c r="P229" s="300"/>
      <c r="X229" s="428"/>
      <c r="Y229" s="428"/>
    </row>
    <row r="230" spans="1:27" ht="84.75" customHeight="1" x14ac:dyDescent="0.3">
      <c r="A230" s="469">
        <f>'Unit Data from Audit Worksheet'!A282</f>
        <v>6</v>
      </c>
      <c r="B230" s="53" t="str">
        <f>'Unit Data from Audit Worksheet'!C282</f>
        <v>Fund Balance Note</v>
      </c>
      <c r="C230" s="441" t="str">
        <f>'Unit Data from Audit Worksheet'!D282</f>
        <v>General Fund -  Total Encumbrances.  You will probably have to refer to the note disclosure where the amount of encumbrances is listed.</v>
      </c>
      <c r="D230" s="337"/>
      <c r="E230" s="154">
        <f>'Unit Data from Audit Worksheet'!F282</f>
        <v>0</v>
      </c>
      <c r="F230" s="37">
        <f>IF(L230&lt;0,"Error: Enter as a positive.",)</f>
        <v>0</v>
      </c>
      <c r="G230" s="73"/>
      <c r="H230" s="330">
        <f>'Unit Data from Audit Worksheet'!I282</f>
        <v>0</v>
      </c>
      <c r="I230" s="38"/>
      <c r="J230" s="41">
        <v>6</v>
      </c>
      <c r="K230" s="133" t="s">
        <v>260</v>
      </c>
      <c r="L230" s="431">
        <f t="shared" si="20"/>
        <v>0</v>
      </c>
      <c r="P230" s="300"/>
      <c r="W230" s="3" t="b">
        <f t="shared" ref="W230:W258" si="24">EXACT(A230,J230)</f>
        <v>1</v>
      </c>
      <c r="X230" s="428">
        <f t="shared" si="21"/>
        <v>0</v>
      </c>
      <c r="Y230" s="428">
        <f t="shared" si="22"/>
        <v>0</v>
      </c>
    </row>
    <row r="231" spans="1:27" ht="117.75" customHeight="1" x14ac:dyDescent="0.3">
      <c r="A231" s="318">
        <f>'Unit Data from Audit Worksheet'!A284</f>
        <v>541</v>
      </c>
      <c r="B231" s="332" t="str">
        <f>'Unit Data from Audit Worksheet'!C284</f>
        <v>Water Sewer - Budget Actual Statement</v>
      </c>
      <c r="C231" s="332"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37"/>
      <c r="E231" s="338">
        <f>'Unit Data from Audit Worksheet'!F284</f>
        <v>0</v>
      </c>
      <c r="F231" s="331"/>
      <c r="G231" s="333"/>
      <c r="H231" s="330">
        <f>'Unit Data from Audit Worksheet'!I284</f>
        <v>0</v>
      </c>
      <c r="I231" s="38"/>
      <c r="J231" s="329">
        <v>541</v>
      </c>
      <c r="K231" s="88" t="s">
        <v>341</v>
      </c>
      <c r="L231" s="431">
        <f t="shared" si="20"/>
        <v>0</v>
      </c>
      <c r="P231" s="300"/>
      <c r="W231" s="3" t="b">
        <f t="shared" si="24"/>
        <v>1</v>
      </c>
      <c r="X231" s="428">
        <f t="shared" si="21"/>
        <v>0</v>
      </c>
      <c r="Y231" s="428">
        <f t="shared" si="22"/>
        <v>0</v>
      </c>
    </row>
    <row r="232" spans="1:27" ht="94.5" customHeight="1" x14ac:dyDescent="0.3">
      <c r="A232" s="318">
        <f>'Unit Data from Audit Worksheet'!A286</f>
        <v>542</v>
      </c>
      <c r="B232" s="332" t="str">
        <f>'Unit Data from Audit Worksheet'!C286</f>
        <v>Water Sewer - Disclosed in the Notes or in the recently approved Budget for next year.</v>
      </c>
      <c r="C232" s="317" t="str">
        <f>'Unit Data from Audit Worksheet'!D286</f>
        <v>Amount of the Water Sewer Fund Balance appropriated in next year's budget?</v>
      </c>
      <c r="D232" s="337"/>
      <c r="E232" s="338">
        <f>'Unit Data from Audit Worksheet'!F286</f>
        <v>0</v>
      </c>
      <c r="F232" s="331"/>
      <c r="G232" s="333"/>
      <c r="H232" s="330">
        <f>'Unit Data from Audit Worksheet'!I286</f>
        <v>0</v>
      </c>
      <c r="I232" s="38"/>
      <c r="J232" s="329">
        <v>542</v>
      </c>
      <c r="K232" s="328" t="s">
        <v>261</v>
      </c>
      <c r="L232" s="431">
        <f t="shared" si="20"/>
        <v>0</v>
      </c>
      <c r="N232" s="61" t="s">
        <v>332</v>
      </c>
      <c r="P232" s="300"/>
      <c r="W232" s="3" t="b">
        <f t="shared" si="24"/>
        <v>1</v>
      </c>
      <c r="X232" s="428">
        <f t="shared" si="21"/>
        <v>0</v>
      </c>
      <c r="Y232" s="428">
        <f t="shared" si="22"/>
        <v>0</v>
      </c>
    </row>
    <row r="233" spans="1:27" ht="93.75" customHeight="1" x14ac:dyDescent="0.3">
      <c r="A233" s="318">
        <f>'Unit Data from Audit Worksheet'!A289</f>
        <v>528</v>
      </c>
      <c r="B233" s="332" t="str">
        <f>'Unit Data from Audit Worksheet'!C289</f>
        <v>Analysis of Current Tax Levy Schedule</v>
      </c>
      <c r="C233" s="317" t="str">
        <f>'Unit Data from Audit Worksheet'!D289</f>
        <v>Please enter the Net Current year's levy for property excluding registered motor vehicles-- (after adjusting for discoveries and abatements)
Exclude Supplemental Taxes</v>
      </c>
      <c r="D233" s="337"/>
      <c r="E233" s="338">
        <f>'Unit Data from Audit Worksheet'!F289</f>
        <v>0</v>
      </c>
      <c r="F233" s="82" t="str">
        <f>IF(L233=0,"Must be completed if unit levys taxes","")</f>
        <v>Must be completed if unit levys taxes</v>
      </c>
      <c r="G233" s="333"/>
      <c r="H233" s="330"/>
      <c r="I233" s="38"/>
      <c r="J233" s="329">
        <v>528</v>
      </c>
      <c r="K233" s="470" t="s">
        <v>266</v>
      </c>
      <c r="L233" s="431">
        <f t="shared" si="20"/>
        <v>0</v>
      </c>
      <c r="N233" s="83"/>
      <c r="P233" s="300"/>
      <c r="W233" s="3" t="b">
        <f t="shared" si="24"/>
        <v>1</v>
      </c>
      <c r="X233" s="428">
        <f t="shared" si="21"/>
        <v>0</v>
      </c>
      <c r="Y233" s="428">
        <f t="shared" si="22"/>
        <v>0</v>
      </c>
    </row>
    <row r="234" spans="1:27" s="18" customFormat="1" ht="79.5" customHeight="1" x14ac:dyDescent="0.3">
      <c r="A234" s="318">
        <f>'Unit Data from Audit Worksheet'!A290</f>
        <v>529</v>
      </c>
      <c r="B234" s="332" t="str">
        <f>'Unit Data from Audit Worksheet'!C290</f>
        <v>Analysis of Current Tax Levy Schedule</v>
      </c>
      <c r="C234" s="317" t="str">
        <f>'Unit Data from Audit Worksheet'!D290</f>
        <v>Please enter the Net Current year's levy -- Motor vehicles (only) (after adjusting for discoveries and abatements)
Exclude supplemental taxes</v>
      </c>
      <c r="D234" s="337"/>
      <c r="E234" s="338">
        <f>'Unit Data from Audit Worksheet'!F290</f>
        <v>0</v>
      </c>
      <c r="F234" s="82" t="str">
        <f>IF(L234=0,"Must be completed if unit levys taxes","")</f>
        <v>Must be completed if unit levys taxes</v>
      </c>
      <c r="G234" s="333"/>
      <c r="H234" s="330"/>
      <c r="I234" s="38"/>
      <c r="J234" s="329">
        <v>529</v>
      </c>
      <c r="K234" s="470" t="s">
        <v>267</v>
      </c>
      <c r="L234" s="431">
        <f t="shared" si="20"/>
        <v>0</v>
      </c>
      <c r="N234" s="83"/>
      <c r="P234" s="300"/>
      <c r="Q234" s="421"/>
      <c r="R234" s="3"/>
      <c r="W234" s="3" t="b">
        <f t="shared" si="24"/>
        <v>1</v>
      </c>
      <c r="X234" s="428">
        <f t="shared" si="21"/>
        <v>0</v>
      </c>
      <c r="Y234" s="428">
        <f t="shared" si="22"/>
        <v>0</v>
      </c>
      <c r="AA234" s="3"/>
    </row>
    <row r="235" spans="1:27" s="18" customFormat="1" ht="75" customHeight="1" x14ac:dyDescent="0.3">
      <c r="A235" s="318">
        <f>'Unit Data from Audit Worksheet'!A291</f>
        <v>530</v>
      </c>
      <c r="B235" s="332" t="str">
        <f>'Unit Data from Audit Worksheet'!C291</f>
        <v>Analysis of Current Tax Levy Schedule</v>
      </c>
      <c r="C235" s="317" t="str">
        <f>'Unit Data from Audit Worksheet'!D291</f>
        <v>Uncollected Taxes - Curr Year's Levy Exclude Motor Vehicles
Exclude supplemental taxes</v>
      </c>
      <c r="D235" s="337"/>
      <c r="E235" s="338">
        <f>'Unit Data from Audit Worksheet'!F291</f>
        <v>0</v>
      </c>
      <c r="F235" s="82" t="str">
        <f>IF(L235=0,"Must be completed if unit levys taxes","")</f>
        <v>Must be completed if unit levys taxes</v>
      </c>
      <c r="G235" s="333"/>
      <c r="H235" s="330"/>
      <c r="I235" s="38"/>
      <c r="J235" s="329">
        <v>530</v>
      </c>
      <c r="K235" s="470" t="s">
        <v>268</v>
      </c>
      <c r="L235" s="431">
        <f t="shared" ref="L235:L241" si="25">IF(D235="",E235,D235)</f>
        <v>0</v>
      </c>
      <c r="N235" s="83"/>
      <c r="P235" s="300"/>
      <c r="Q235" s="421"/>
      <c r="R235" s="3"/>
      <c r="W235" s="3" t="b">
        <f t="shared" si="24"/>
        <v>1</v>
      </c>
      <c r="X235" s="428">
        <f t="shared" si="21"/>
        <v>0</v>
      </c>
      <c r="Y235" s="428">
        <f t="shared" si="22"/>
        <v>0</v>
      </c>
      <c r="AA235" s="3"/>
    </row>
    <row r="236" spans="1:27" s="18" customFormat="1" ht="68.25" customHeight="1" x14ac:dyDescent="0.3">
      <c r="A236" s="318">
        <f>'Unit Data from Audit Worksheet'!A292</f>
        <v>531</v>
      </c>
      <c r="B236" s="332" t="str">
        <f>'Unit Data from Audit Worksheet'!C292</f>
        <v>Analysis of Current Tax Levy Schedule</v>
      </c>
      <c r="C236" s="317" t="str">
        <f>'Unit Data from Audit Worksheet'!D292</f>
        <v>Uncollected Taxes - Curr Year's Levy Motor Vehicles
Exclude supplemental taxes</v>
      </c>
      <c r="D236" s="337"/>
      <c r="E236" s="338">
        <f>'Unit Data from Audit Worksheet'!F292</f>
        <v>0</v>
      </c>
      <c r="F236" s="82" t="str">
        <f>IF(L236=0,"Must be completed if unit levys taxes","")</f>
        <v>Must be completed if unit levys taxes</v>
      </c>
      <c r="G236" s="333"/>
      <c r="H236" s="330"/>
      <c r="I236" s="38"/>
      <c r="J236" s="329">
        <v>531</v>
      </c>
      <c r="K236" s="470" t="s">
        <v>269</v>
      </c>
      <c r="L236" s="431">
        <f t="shared" si="25"/>
        <v>0</v>
      </c>
      <c r="N236" s="83" t="str">
        <f>IF(T240=0,"Must be completed if unit levys taxes, zero acceptable if Motor Vehicle collection rate is 100%","")</f>
        <v>Must be completed if unit levys taxes, zero acceptable if Motor Vehicle collection rate is 100%</v>
      </c>
      <c r="P236" s="300"/>
      <c r="Q236" s="421"/>
      <c r="R236" s="3"/>
      <c r="W236" s="3" t="b">
        <f t="shared" si="24"/>
        <v>1</v>
      </c>
      <c r="X236" s="428">
        <f t="shared" si="21"/>
        <v>0</v>
      </c>
      <c r="Y236" s="428">
        <f t="shared" si="22"/>
        <v>0</v>
      </c>
      <c r="AA236" s="3"/>
    </row>
    <row r="237" spans="1:27" ht="90.75" customHeight="1" x14ac:dyDescent="0.3">
      <c r="A237" s="318">
        <f>'Unit Data from Audit Worksheet'!A293</f>
        <v>61</v>
      </c>
      <c r="B237" s="332" t="str">
        <f>'Unit Data from Audit Worksheet'!C293</f>
        <v>Analysis of Current Tax Levy Schedule</v>
      </c>
      <c r="C237" s="317"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33" t="str">
        <f>IF(Q237=1," Included in error count"," ")</f>
        <v xml:space="preserve"> </v>
      </c>
      <c r="H237" s="333">
        <f>ROUND(IFERROR(((L233+L234)-(L235+L236))/(L233+L234)*100,0),2)</f>
        <v>0</v>
      </c>
      <c r="I237" s="38"/>
      <c r="J237" s="329">
        <v>61</v>
      </c>
      <c r="K237" s="58" t="s">
        <v>263</v>
      </c>
      <c r="L237" s="471">
        <f t="shared" si="25"/>
        <v>0</v>
      </c>
      <c r="N237" s="83"/>
      <c r="P237" s="300"/>
      <c r="Q237" s="421">
        <f>IF(L237-H237&lt;&gt;0,1,0)</f>
        <v>0</v>
      </c>
      <c r="W237" s="3" t="b">
        <f t="shared" si="24"/>
        <v>1</v>
      </c>
      <c r="X237" s="428">
        <f t="shared" si="21"/>
        <v>0</v>
      </c>
      <c r="Y237" s="428">
        <f t="shared" si="22"/>
        <v>0</v>
      </c>
    </row>
    <row r="238" spans="1:27" ht="89.25" customHeight="1" x14ac:dyDescent="0.3">
      <c r="A238" s="318">
        <f>'Unit Data from Audit Worksheet'!A294</f>
        <v>102</v>
      </c>
      <c r="B238" s="332" t="str">
        <f>'Unit Data from Audit Worksheet'!C294</f>
        <v>Analysis of Current Tax Levy Schedule</v>
      </c>
      <c r="C238" s="317"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33" t="str">
        <f>IF(Q238=1," Included in error count"," ")</f>
        <v xml:space="preserve"> </v>
      </c>
      <c r="H238" s="333">
        <f>ROUND(IFERROR(((L233)-(L235))/(L233)*100,0),2)</f>
        <v>0</v>
      </c>
      <c r="I238" s="38"/>
      <c r="J238" s="329">
        <v>102</v>
      </c>
      <c r="K238" s="58" t="s">
        <v>264</v>
      </c>
      <c r="L238" s="471">
        <f t="shared" si="25"/>
        <v>0</v>
      </c>
      <c r="N238" s="83"/>
      <c r="P238" s="300"/>
      <c r="Q238" s="421">
        <f>IF(L238-H238&lt;&gt;0,1,0)</f>
        <v>0</v>
      </c>
      <c r="W238" s="3" t="b">
        <f t="shared" si="24"/>
        <v>1</v>
      </c>
      <c r="X238" s="428">
        <f t="shared" si="21"/>
        <v>0</v>
      </c>
      <c r="Y238" s="428">
        <f t="shared" si="22"/>
        <v>0</v>
      </c>
    </row>
    <row r="239" spans="1:27" ht="87.75" customHeight="1" x14ac:dyDescent="0.3">
      <c r="A239" s="318">
        <f>'Unit Data from Audit Worksheet'!A295</f>
        <v>103</v>
      </c>
      <c r="B239" s="332" t="str">
        <f>'Unit Data from Audit Worksheet'!C295</f>
        <v>Analysis of Current Tax Levy Schedule</v>
      </c>
      <c r="C239" s="317"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33" t="str">
        <f>IF(Q239=1," Included in error count"," ")</f>
        <v xml:space="preserve"> </v>
      </c>
      <c r="H239" s="333">
        <f>ROUND(IFERROR(((L234)-(L236))/(L234)*100,0),2)</f>
        <v>0</v>
      </c>
      <c r="I239" s="38"/>
      <c r="J239" s="329">
        <v>103</v>
      </c>
      <c r="K239" s="58" t="s">
        <v>265</v>
      </c>
      <c r="L239" s="471">
        <f t="shared" si="25"/>
        <v>0</v>
      </c>
      <c r="N239" s="83"/>
      <c r="P239" s="300"/>
      <c r="Q239" s="421">
        <f>IF(L239-H239&lt;&gt;0,1,0)</f>
        <v>0</v>
      </c>
      <c r="W239" s="3" t="b">
        <f t="shared" si="24"/>
        <v>1</v>
      </c>
      <c r="X239" s="428">
        <f t="shared" si="21"/>
        <v>0</v>
      </c>
      <c r="Y239" s="428">
        <f t="shared" si="22"/>
        <v>0</v>
      </c>
    </row>
    <row r="240" spans="1:27" ht="86.25" customHeight="1" x14ac:dyDescent="0.3">
      <c r="A240" s="318">
        <f>'Unit Data from Audit Worksheet'!A296</f>
        <v>544</v>
      </c>
      <c r="B240" s="332" t="str">
        <f>'Unit Data from Audit Worksheet'!C296</f>
        <v>Analysis of Current Tax Levy Schedule</v>
      </c>
      <c r="C240" s="317" t="str">
        <f>'Unit Data from Audit Worksheet'!D296</f>
        <v>Property Tax Increase for Year Audited- enter amount of  increase in cents per $100 - leave blank if no increase 
Exclude supplemental taxes</v>
      </c>
      <c r="D240" s="337"/>
      <c r="E240" s="148">
        <f>'Unit Data from Audit Worksheet'!F296</f>
        <v>0</v>
      </c>
      <c r="F240" s="104"/>
      <c r="G240" s="333"/>
      <c r="H240" s="330">
        <f>'Unit Data from Audit Worksheet'!I296</f>
        <v>0</v>
      </c>
      <c r="I240" s="38"/>
      <c r="J240" s="329">
        <v>544</v>
      </c>
      <c r="K240" s="58" t="s">
        <v>53</v>
      </c>
      <c r="L240" s="472">
        <f t="shared" si="25"/>
        <v>0</v>
      </c>
      <c r="N240" s="61" t="s">
        <v>332</v>
      </c>
      <c r="P240" s="300"/>
      <c r="W240" s="3" t="b">
        <f t="shared" si="24"/>
        <v>1</v>
      </c>
      <c r="X240" s="428">
        <f t="shared" si="21"/>
        <v>0</v>
      </c>
      <c r="Y240" s="428">
        <f t="shared" si="22"/>
        <v>0</v>
      </c>
    </row>
    <row r="241" spans="1:25" ht="93.75" customHeight="1" x14ac:dyDescent="0.3">
      <c r="A241" s="318">
        <f>'Unit Data from Audit Worksheet'!A297</f>
        <v>545</v>
      </c>
      <c r="B241" s="332" t="str">
        <f>'Unit Data from Audit Worksheet'!C297</f>
        <v>Analysis of Current Tax Levy Schedule</v>
      </c>
      <c r="C241" s="317" t="str">
        <f>'Unit Data from Audit Worksheet'!D297</f>
        <v>Property Tax Increase for budget year after fiscal year being reported - enter amount of increase in cents per $100- leave blank if no increase
Exclude supplemental taxes</v>
      </c>
      <c r="D241" s="337"/>
      <c r="E241" s="148">
        <f>'Unit Data from Audit Worksheet'!F297</f>
        <v>0</v>
      </c>
      <c r="F241" s="331"/>
      <c r="G241" s="333"/>
      <c r="H241" s="330">
        <f>'Unit Data from Audit Worksheet'!I297</f>
        <v>0</v>
      </c>
      <c r="I241" s="38"/>
      <c r="J241" s="105">
        <v>545</v>
      </c>
      <c r="K241" s="58" t="s">
        <v>54</v>
      </c>
      <c r="L241" s="472">
        <f t="shared" si="25"/>
        <v>0</v>
      </c>
      <c r="N241" s="61" t="s">
        <v>332</v>
      </c>
      <c r="O241" s="440"/>
      <c r="P241" s="301"/>
      <c r="W241" s="3" t="b">
        <f t="shared" si="24"/>
        <v>1</v>
      </c>
      <c r="X241" s="428">
        <f t="shared" si="21"/>
        <v>0</v>
      </c>
      <c r="Y241" s="428">
        <f t="shared" si="22"/>
        <v>0</v>
      </c>
    </row>
    <row r="242" spans="1:25" ht="72.75" customHeight="1" x14ac:dyDescent="0.3">
      <c r="A242" s="318">
        <f>'Unit Data from Audit Worksheet'!A298</f>
        <v>624</v>
      </c>
      <c r="B242" s="332"/>
      <c r="C242" s="317" t="str">
        <f>'Unit Data from Audit Worksheet'!D298</f>
        <v>Does the County collect real estate property taxes on your behalf? Select "1" for "yes and "2" for "No"</v>
      </c>
      <c r="D242" s="337"/>
      <c r="E242" s="156">
        <f>'Unit Data from Audit Worksheet'!F298</f>
        <v>0</v>
      </c>
      <c r="F242" s="331"/>
      <c r="G242" s="333"/>
      <c r="H242" s="330"/>
      <c r="I242" s="38"/>
      <c r="J242" s="105">
        <v>624</v>
      </c>
      <c r="K242" s="58" t="s">
        <v>437</v>
      </c>
      <c r="L242" s="431">
        <f t="shared" ref="L242:L258" si="26">IF(D242="",E242,D242)</f>
        <v>0</v>
      </c>
      <c r="P242" s="301"/>
      <c r="W242" s="3" t="b">
        <f t="shared" si="24"/>
        <v>1</v>
      </c>
      <c r="X242" s="428">
        <f t="shared" si="21"/>
        <v>0</v>
      </c>
      <c r="Y242" s="428">
        <f t="shared" si="22"/>
        <v>0</v>
      </c>
    </row>
    <row r="243" spans="1:25" ht="72.75" customHeight="1" x14ac:dyDescent="0.3">
      <c r="A243" s="318">
        <f>'Unit Data from Audit Worksheet'!A299</f>
        <v>648</v>
      </c>
      <c r="B243" s="332"/>
      <c r="C243" s="317" t="str">
        <f>'Unit Data from Audit Worksheet'!D299</f>
        <v>Please enter your tax rate for ad valorem in effect for fiscal year audited.  Example 60 cents per 100 would be entered as .60</v>
      </c>
      <c r="D243" s="337"/>
      <c r="E243" s="156">
        <f>'Unit Data from Audit Worksheet'!F299</f>
        <v>0</v>
      </c>
      <c r="F243" s="331"/>
      <c r="G243" s="333"/>
      <c r="H243" s="330"/>
      <c r="I243" s="38"/>
      <c r="J243" s="105">
        <v>648</v>
      </c>
      <c r="K243" s="473" t="s">
        <v>675</v>
      </c>
      <c r="L243" s="474">
        <f t="shared" si="26"/>
        <v>0</v>
      </c>
      <c r="P243" s="301"/>
      <c r="W243" s="3" t="b">
        <f t="shared" si="24"/>
        <v>1</v>
      </c>
      <c r="X243" s="428"/>
      <c r="Y243" s="428"/>
    </row>
    <row r="244" spans="1:25" ht="161.25" customHeight="1" x14ac:dyDescent="0.3">
      <c r="A244" s="447">
        <f>'Unit Data from Audit Worksheet'!A300</f>
        <v>991</v>
      </c>
      <c r="B244" s="336"/>
      <c r="C244" s="448"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37"/>
      <c r="E244" s="156">
        <f>'Unit Data from Audit Worksheet'!F300</f>
        <v>0</v>
      </c>
      <c r="F244" s="331"/>
      <c r="G244" s="333"/>
      <c r="H244" s="330" t="str">
        <f>'Unit Data from Audit Worksheet'!H300</f>
        <v>Avery, Bladen, Chowan, Craven, Duplin, Guilford, Harnett, Hoke, Jones, Mitchell, Onslow, Pasquotank, Watauga</v>
      </c>
      <c r="I244" s="38"/>
      <c r="J244" s="315">
        <v>991</v>
      </c>
      <c r="K244" s="458" t="s">
        <v>1072</v>
      </c>
      <c r="L244" s="431">
        <f t="shared" si="26"/>
        <v>0</v>
      </c>
      <c r="P244" s="301"/>
      <c r="W244" s="3" t="b">
        <f t="shared" si="24"/>
        <v>1</v>
      </c>
      <c r="X244" s="428"/>
      <c r="Y244" s="428"/>
    </row>
    <row r="245" spans="1:25" ht="87.75" customHeight="1" x14ac:dyDescent="0.3">
      <c r="A245" s="318">
        <f>'Unit Data from Audit Worksheet'!A302</f>
        <v>620</v>
      </c>
      <c r="B245" s="332"/>
      <c r="C245" s="317" t="str">
        <f>'Unit Data from Audit Worksheet'!D302</f>
        <v>Do you expect to issue debt requiring LGC approval within 12 months from the date that the audit is submitted - select "1" for yes and "2" for no</v>
      </c>
      <c r="D245" s="337"/>
      <c r="E245" s="156">
        <f>'Unit Data from Audit Worksheet'!F302</f>
        <v>0</v>
      </c>
      <c r="F245" s="331"/>
      <c r="G245" s="333"/>
      <c r="H245" s="330">
        <f>'Unit Data from Audit Worksheet'!I302</f>
        <v>0</v>
      </c>
      <c r="I245" s="38"/>
      <c r="J245" s="105">
        <v>620</v>
      </c>
      <c r="K245" s="58" t="s">
        <v>666</v>
      </c>
      <c r="L245" s="431">
        <f t="shared" si="26"/>
        <v>0</v>
      </c>
      <c r="N245" s="138"/>
      <c r="P245" s="301"/>
      <c r="W245" s="3" t="b">
        <f t="shared" si="24"/>
        <v>1</v>
      </c>
      <c r="X245" s="428">
        <f t="shared" si="21"/>
        <v>0</v>
      </c>
      <c r="Y245" s="428">
        <f t="shared" si="22"/>
        <v>0</v>
      </c>
    </row>
    <row r="246" spans="1:25" ht="87.75" customHeight="1" x14ac:dyDescent="0.3">
      <c r="A246" s="447">
        <f>+'TD Info Completed by Auditor'!D41</f>
        <v>906</v>
      </c>
      <c r="B246" s="314" t="s">
        <v>663</v>
      </c>
      <c r="C246" s="447" t="str">
        <f>+'TD Info Completed by Auditor'!E41</f>
        <v>Is the Independent Auditor's Report Opinion Unmodified?</v>
      </c>
      <c r="D246" s="337"/>
      <c r="E246" s="320">
        <f>IF(+'TD Info Completed by Auditor'!G41="Yes",1,IF(+'TD Info Completed by Auditor'!G41="No",2,IF(+'TD Info Completed by Auditor'!G41="N/A",3,0)))</f>
        <v>0</v>
      </c>
      <c r="F246" s="331"/>
      <c r="G246" s="333"/>
      <c r="H246" s="330"/>
      <c r="I246" s="38"/>
      <c r="J246" s="127">
        <v>906</v>
      </c>
      <c r="K246" s="458" t="s">
        <v>584</v>
      </c>
      <c r="L246" s="431">
        <f t="shared" si="26"/>
        <v>0</v>
      </c>
      <c r="N246" s="138" t="s">
        <v>750</v>
      </c>
      <c r="P246" s="303"/>
      <c r="W246" s="3" t="b">
        <f t="shared" si="24"/>
        <v>1</v>
      </c>
      <c r="X246" s="428"/>
      <c r="Y246" s="428"/>
    </row>
    <row r="247" spans="1:25" ht="87.75" customHeight="1" x14ac:dyDescent="0.3">
      <c r="A247" s="447">
        <f>+'TD Info Completed by Auditor'!D43</f>
        <v>907</v>
      </c>
      <c r="B247" s="314" t="s">
        <v>663</v>
      </c>
      <c r="C247" s="447" t="str">
        <f>+'TD Info Completed by Auditor'!E43</f>
        <v xml:space="preserve">Is there a finding for lack of segregation of duties at this unit? </v>
      </c>
      <c r="D247" s="337"/>
      <c r="E247" s="320">
        <f>IF(+'TD Info Completed by Auditor'!G43="Yes",1,IF(+'TD Info Completed by Auditor'!G43="No",2,IF(+'TD Info Completed by Auditor'!G43="N/A",3,0)))</f>
        <v>0</v>
      </c>
      <c r="F247" s="331"/>
      <c r="G247" s="333"/>
      <c r="H247" s="330"/>
      <c r="I247" s="38"/>
      <c r="J247" s="127">
        <v>907</v>
      </c>
      <c r="K247" s="458" t="s">
        <v>585</v>
      </c>
      <c r="L247" s="431">
        <f t="shared" si="26"/>
        <v>0</v>
      </c>
      <c r="N247" s="138" t="s">
        <v>750</v>
      </c>
      <c r="P247" s="303"/>
      <c r="W247" s="3" t="b">
        <f t="shared" si="24"/>
        <v>1</v>
      </c>
      <c r="X247" s="428"/>
      <c r="Y247" s="428"/>
    </row>
    <row r="248" spans="1:25" ht="87.75" customHeight="1" x14ac:dyDescent="0.3">
      <c r="A248" s="447">
        <f>+'TD Info Completed by Auditor'!D45</f>
        <v>951</v>
      </c>
      <c r="B248" s="314" t="s">
        <v>663</v>
      </c>
      <c r="C248" s="448" t="str">
        <f>+'TD Info Completed by Auditor'!E45</f>
        <v>Is there a finding for lack of technical skills, knowledge and experience (SKE) at this unit?</v>
      </c>
      <c r="D248" s="337"/>
      <c r="E248" s="320">
        <f>IF(+'TD Info Completed by Auditor'!G45="Yes",1,IF(+'TD Info Completed by Auditor'!G45="No",2,IF(+'TD Info Completed by Auditor'!G45="N/A",3,0)))</f>
        <v>0</v>
      </c>
      <c r="F248" s="331"/>
      <c r="G248" s="333"/>
      <c r="H248" s="330"/>
      <c r="I248" s="38"/>
      <c r="J248" s="127">
        <v>951</v>
      </c>
      <c r="K248" s="458" t="s">
        <v>586</v>
      </c>
      <c r="L248" s="431">
        <f t="shared" si="26"/>
        <v>0</v>
      </c>
      <c r="N248" s="138" t="s">
        <v>750</v>
      </c>
      <c r="P248" s="303"/>
      <c r="W248" s="3" t="b">
        <f t="shared" si="24"/>
        <v>1</v>
      </c>
      <c r="X248" s="428"/>
      <c r="Y248" s="428"/>
    </row>
    <row r="249" spans="1:25" ht="87.75" customHeight="1" x14ac:dyDescent="0.3">
      <c r="A249" s="447">
        <f>+'TD Info Completed by Auditor'!D47</f>
        <v>953</v>
      </c>
      <c r="B249" s="314" t="s">
        <v>663</v>
      </c>
      <c r="C249" s="448" t="str">
        <f>+'TD Info Completed by Auditor'!E47</f>
        <v xml:space="preserve">Is there is a going concern finding noted in the audit report? </v>
      </c>
      <c r="D249" s="337"/>
      <c r="E249" s="320">
        <f>IF(+'TD Info Completed by Auditor'!G47="Yes",1,IF(+'TD Info Completed by Auditor'!G47="No",2,IF(+'TD Info Completed by Auditor'!G47="N/A",3,0)))</f>
        <v>0</v>
      </c>
      <c r="F249" s="331"/>
      <c r="G249" s="333"/>
      <c r="H249" s="330"/>
      <c r="I249" s="38"/>
      <c r="J249" s="127">
        <v>953</v>
      </c>
      <c r="K249" s="458" t="s">
        <v>985</v>
      </c>
      <c r="L249" s="431">
        <f t="shared" si="26"/>
        <v>0</v>
      </c>
      <c r="N249" s="138" t="s">
        <v>750</v>
      </c>
      <c r="P249" s="303"/>
      <c r="W249" s="3" t="b">
        <f t="shared" si="24"/>
        <v>1</v>
      </c>
      <c r="X249" s="428"/>
      <c r="Y249" s="428"/>
    </row>
    <row r="250" spans="1:25" ht="87.75" customHeight="1" x14ac:dyDescent="0.3">
      <c r="A250" s="447">
        <f>+'TD Info Completed by Auditor'!D49</f>
        <v>955</v>
      </c>
      <c r="B250" s="314" t="s">
        <v>663</v>
      </c>
      <c r="C250" s="448" t="str">
        <f>+'TD Info Completed by Auditor'!E49</f>
        <v>Number of significant deficiency findings (other than in Questions 15-18 )</v>
      </c>
      <c r="D250" s="337"/>
      <c r="E250" s="1062" t="str">
        <f>IF(ISBLANK('TD Info Completed by Auditor'!G49),"",'TD Info Completed by Auditor'!G49)</f>
        <v/>
      </c>
      <c r="F250" s="331"/>
      <c r="G250" s="333"/>
      <c r="H250" s="1063" t="s">
        <v>1201</v>
      </c>
      <c r="I250" s="38"/>
      <c r="J250" s="127">
        <v>955</v>
      </c>
      <c r="K250" s="458" t="s">
        <v>667</v>
      </c>
      <c r="L250" s="431" t="str">
        <f t="shared" si="26"/>
        <v/>
      </c>
      <c r="N250" s="138" t="s">
        <v>750</v>
      </c>
      <c r="P250" s="303"/>
      <c r="W250" s="3" t="b">
        <f t="shared" si="24"/>
        <v>1</v>
      </c>
      <c r="X250" s="428"/>
      <c r="Y250" s="428"/>
    </row>
    <row r="251" spans="1:25" ht="87.75" customHeight="1" x14ac:dyDescent="0.3">
      <c r="A251" s="447">
        <f>+'TD Info Completed by Auditor'!D51</f>
        <v>957</v>
      </c>
      <c r="B251" s="314" t="s">
        <v>663</v>
      </c>
      <c r="C251" s="448" t="str">
        <f>+'TD Info Completed by Auditor'!E51</f>
        <v>Number of material weaknesses findings (other than in Questions 15-18)</v>
      </c>
      <c r="D251" s="337"/>
      <c r="E251" s="1062" t="str">
        <f>IF(ISBLANK('TD Info Completed by Auditor'!G51),"",'TD Info Completed by Auditor'!G51)</f>
        <v/>
      </c>
      <c r="F251" s="331"/>
      <c r="G251" s="333"/>
      <c r="H251" s="1063" t="s">
        <v>1202</v>
      </c>
      <c r="I251" s="38"/>
      <c r="J251" s="127">
        <v>957</v>
      </c>
      <c r="K251" s="458" t="s">
        <v>668</v>
      </c>
      <c r="L251" s="431" t="str">
        <f t="shared" si="26"/>
        <v/>
      </c>
      <c r="N251" s="138" t="s">
        <v>750</v>
      </c>
      <c r="P251" s="303"/>
      <c r="W251" s="3" t="b">
        <f t="shared" si="24"/>
        <v>1</v>
      </c>
      <c r="X251" s="428"/>
      <c r="Y251" s="428"/>
    </row>
    <row r="252" spans="1:25" ht="87.75" customHeight="1" x14ac:dyDescent="0.3">
      <c r="A252" s="447">
        <f>+'TD Info Completed by Auditor'!D53</f>
        <v>959</v>
      </c>
      <c r="B252" s="314" t="s">
        <v>663</v>
      </c>
      <c r="C252" s="448" t="str">
        <f>+'TD Info Completed by Auditor'!E53</f>
        <v>Did the Unit have debt service payments deferred or restructured in this fiscal year? (does not include refinancings designed to take advantage of lower interest rates)  Select Yes, No, or NA</v>
      </c>
      <c r="D252" s="337"/>
      <c r="E252" s="320">
        <f>IF(+'TD Info Completed by Auditor'!G53="Yes",1,IF(+'TD Info Completed by Auditor'!G53="No",2,IF(+'TD Info Completed by Auditor'!G53="N/A",3,0)))</f>
        <v>0</v>
      </c>
      <c r="F252" s="331"/>
      <c r="G252" s="333"/>
      <c r="H252" s="330"/>
      <c r="I252" s="38"/>
      <c r="J252" s="127">
        <v>959</v>
      </c>
      <c r="K252" s="458" t="s">
        <v>752</v>
      </c>
      <c r="L252" s="431">
        <f t="shared" si="26"/>
        <v>0</v>
      </c>
      <c r="N252" s="138" t="s">
        <v>750</v>
      </c>
      <c r="P252" s="303"/>
      <c r="W252" s="3" t="b">
        <f t="shared" si="24"/>
        <v>1</v>
      </c>
      <c r="X252" s="428"/>
      <c r="Y252" s="428"/>
    </row>
    <row r="253" spans="1:25" ht="222" customHeight="1" x14ac:dyDescent="0.3">
      <c r="A253" s="447">
        <f>+'TD Info Completed by Auditor'!D57</f>
        <v>974</v>
      </c>
      <c r="B253" s="314" t="s">
        <v>663</v>
      </c>
      <c r="C253" s="448"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37"/>
      <c r="E253" s="320">
        <f>IF(+'TD Info Completed by Auditor'!G57="Yes",1,IF(+'TD Info Completed by Auditor'!G57="No",2,IF(+'TD Info Completed by Auditor'!G57="N/A",3,0)))</f>
        <v>0</v>
      </c>
      <c r="F253" s="331"/>
      <c r="G253" s="333"/>
      <c r="H253" s="330"/>
      <c r="I253" s="38"/>
      <c r="J253" s="127">
        <v>974</v>
      </c>
      <c r="K253" s="458" t="s">
        <v>986</v>
      </c>
      <c r="L253" s="431">
        <f t="shared" si="26"/>
        <v>0</v>
      </c>
      <c r="N253" s="138" t="s">
        <v>750</v>
      </c>
      <c r="P253" s="303"/>
      <c r="W253" s="3" t="b">
        <f t="shared" si="24"/>
        <v>1</v>
      </c>
      <c r="X253" s="428"/>
      <c r="Y253" s="428"/>
    </row>
    <row r="254" spans="1:25" ht="177.75" customHeight="1" x14ac:dyDescent="0.3">
      <c r="A254" s="447">
        <f>+'TD Info Completed by Auditor'!D55</f>
        <v>973</v>
      </c>
      <c r="B254" s="314" t="s">
        <v>663</v>
      </c>
      <c r="C254" s="313"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37"/>
      <c r="E254" s="320">
        <f>+'TD Info Completed by Auditor'!G55</f>
        <v>0</v>
      </c>
      <c r="F254" s="331"/>
      <c r="G254" s="333"/>
      <c r="H254" s="330"/>
      <c r="I254" s="38"/>
      <c r="J254" s="127">
        <v>973</v>
      </c>
      <c r="K254" s="458" t="s">
        <v>709</v>
      </c>
      <c r="L254" s="431">
        <f t="shared" si="26"/>
        <v>0</v>
      </c>
      <c r="N254" s="138" t="s">
        <v>750</v>
      </c>
      <c r="P254" s="303"/>
      <c r="W254" s="3" t="b">
        <f t="shared" si="24"/>
        <v>1</v>
      </c>
      <c r="X254" s="428"/>
      <c r="Y254" s="428"/>
    </row>
    <row r="255" spans="1:25" ht="87.75" customHeight="1" x14ac:dyDescent="0.3">
      <c r="A255" s="447">
        <f>+'TD Info Completed by Auditor'!D60</f>
        <v>965</v>
      </c>
      <c r="B255" s="314" t="s">
        <v>663</v>
      </c>
      <c r="C255" s="448" t="str">
        <f>+'TD Info Completed by Auditor'!E60</f>
        <v xml:space="preserve">Is the Finance Officer bonded for at least $50,000? (GS 159-42(h) </v>
      </c>
      <c r="D255" s="337"/>
      <c r="E255" s="320">
        <f>IF(+'TD Info Completed by Auditor'!G60="Yes",1,IF(+'TD Info Completed by Auditor'!G60="No",2,IF(+'TD Info Completed by Auditor'!G60="N/A",3,0)))</f>
        <v>0</v>
      </c>
      <c r="F255" s="331"/>
      <c r="G255" s="333"/>
      <c r="H255" s="330"/>
      <c r="I255" s="38"/>
      <c r="J255" s="127">
        <v>965</v>
      </c>
      <c r="K255" s="458" t="s">
        <v>591</v>
      </c>
      <c r="L255" s="431">
        <f t="shared" si="26"/>
        <v>0</v>
      </c>
      <c r="N255" s="138" t="s">
        <v>750</v>
      </c>
      <c r="P255" s="303"/>
      <c r="W255" s="3" t="b">
        <f t="shared" si="24"/>
        <v>1</v>
      </c>
      <c r="X255" s="428"/>
      <c r="Y255" s="428"/>
    </row>
    <row r="256" spans="1:25" ht="87.75" customHeight="1" x14ac:dyDescent="0.3">
      <c r="A256" s="447">
        <f>+'TD Info Completed by Auditor'!D68</f>
        <v>977</v>
      </c>
      <c r="B256" s="314" t="s">
        <v>663</v>
      </c>
      <c r="C256" s="448" t="str">
        <f>+'TD Info Completed by Auditor'!E68</f>
        <v>Does the entity have an  effective pre-audit process to ensure that pervasive budgetary over- expenditures do not occur at the budget ordinance level? Select Yes or No</v>
      </c>
      <c r="D256" s="337"/>
      <c r="E256" s="320">
        <f>IF(+'TD Info Completed by Auditor'!G68="Yes",1,IF(+'TD Info Completed by Auditor'!G68="No",2,))</f>
        <v>0</v>
      </c>
      <c r="F256" s="331"/>
      <c r="G256" s="333"/>
      <c r="H256" s="330"/>
      <c r="I256" s="38"/>
      <c r="J256" s="127">
        <v>977</v>
      </c>
      <c r="K256" s="458" t="s">
        <v>988</v>
      </c>
      <c r="L256" s="431">
        <f t="shared" si="26"/>
        <v>0</v>
      </c>
      <c r="N256" s="138" t="s">
        <v>750</v>
      </c>
      <c r="P256" s="303"/>
      <c r="W256" s="3" t="b">
        <f t="shared" si="24"/>
        <v>1</v>
      </c>
      <c r="X256" s="428"/>
      <c r="Y256" s="428"/>
    </row>
    <row r="257" spans="1:25" ht="87.75" customHeight="1" x14ac:dyDescent="0.3">
      <c r="A257" s="447">
        <f>+'TD Info Completed by Auditor'!D70</f>
        <v>978</v>
      </c>
      <c r="B257" s="314" t="s">
        <v>663</v>
      </c>
      <c r="C257" s="448" t="str">
        <f>+'TD Info Completed by Auditor'!E70</f>
        <v>Did the audit disclose any statutory violations in the notes that were not covered by findings?  Select Yes or No</v>
      </c>
      <c r="D257" s="337"/>
      <c r="E257" s="320" t="str">
        <f>IF(+'TD Info Completed by Auditor'!G70="Yes",1,IF(+'TD Info Completed by Auditor'!G70="No",2,IF(+'TD Info Completed by Auditor'!G70="","0")))</f>
        <v>0</v>
      </c>
      <c r="F257" s="331"/>
      <c r="G257" s="333"/>
      <c r="H257" s="330"/>
      <c r="I257" s="38"/>
      <c r="J257" s="127">
        <v>978</v>
      </c>
      <c r="K257" s="458" t="s">
        <v>987</v>
      </c>
      <c r="L257" s="431" t="str">
        <f t="shared" si="26"/>
        <v>0</v>
      </c>
      <c r="N257" s="138" t="s">
        <v>750</v>
      </c>
      <c r="P257" s="303"/>
      <c r="W257" s="3" t="b">
        <f t="shared" si="24"/>
        <v>1</v>
      </c>
      <c r="X257" s="428"/>
      <c r="Y257" s="428"/>
    </row>
    <row r="258" spans="1:25" ht="87.75" customHeight="1" x14ac:dyDescent="0.3">
      <c r="A258" s="447">
        <f>+'TD Info Completed by Auditor'!D72</f>
        <v>979</v>
      </c>
      <c r="B258" s="314" t="s">
        <v>663</v>
      </c>
      <c r="C258" s="448" t="str">
        <f>+'TD Info Completed by Auditor'!E72</f>
        <v>The Auditor will submit the Audit Report to the LGC within five months plus one day after the fiscal year end.  (for units with a June 30th fiscal year-end this would be December 1)   Select Yes or No</v>
      </c>
      <c r="D258" s="337"/>
      <c r="E258" s="320">
        <f>IF(+'TD Info Completed by Auditor'!G72="Yes",1,IF(+'TD Info Completed by Auditor'!G72="No",2,IF(+'TD Info Completed by Auditor'!G72="N/A",3,0)))</f>
        <v>0</v>
      </c>
      <c r="F258" s="331"/>
      <c r="G258" s="333"/>
      <c r="H258" s="330"/>
      <c r="I258" s="38"/>
      <c r="J258" s="127">
        <v>979</v>
      </c>
      <c r="K258" s="458" t="s">
        <v>630</v>
      </c>
      <c r="L258" s="431">
        <f t="shared" si="26"/>
        <v>0</v>
      </c>
      <c r="N258" s="138" t="s">
        <v>750</v>
      </c>
      <c r="P258" s="303"/>
      <c r="W258" s="3" t="b">
        <f t="shared" si="24"/>
        <v>1</v>
      </c>
      <c r="X258" s="428"/>
      <c r="Y258" s="428"/>
    </row>
    <row r="259" spans="1:25" ht="87.75" customHeight="1" x14ac:dyDescent="0.3">
      <c r="A259" s="447">
        <f>+'TD Info Completed by Auditor'!D76</f>
        <v>975</v>
      </c>
      <c r="B259" s="314" t="s">
        <v>663</v>
      </c>
      <c r="C259" s="448" t="str">
        <f>+'TD Info Completed by Auditor'!E76</f>
        <v>The Performance Indicator Tab in this worksheet has at least one performance indicator of concern (indicated by a red shaded cell)</v>
      </c>
      <c r="D259" s="337"/>
      <c r="E259" s="320">
        <f>IF(+'TD Info Completed by Auditor'!G76="Yes",1,IF(+'TD Info Completed by Auditor'!G76="No",2,IF(+'TD Info Completed by Auditor'!G76="N/A",3,0)))</f>
        <v>0</v>
      </c>
      <c r="F259" s="331"/>
      <c r="G259" s="333"/>
      <c r="H259" s="330"/>
      <c r="I259" s="38"/>
      <c r="J259" s="127">
        <v>975</v>
      </c>
      <c r="K259" s="458" t="s">
        <v>669</v>
      </c>
      <c r="L259" s="431">
        <f>IF(D259="",E259,D259)</f>
        <v>0</v>
      </c>
      <c r="N259" s="138" t="s">
        <v>750</v>
      </c>
      <c r="P259" s="303"/>
      <c r="W259" s="3" t="b">
        <f>EXACT(A259,J259)</f>
        <v>1</v>
      </c>
      <c r="X259" s="428"/>
      <c r="Y259" s="428"/>
    </row>
    <row r="260" spans="1:25" ht="129.6" x14ac:dyDescent="0.3">
      <c r="A260" s="447">
        <f>+'TD Info Completed by Auditor'!D78</f>
        <v>976</v>
      </c>
      <c r="B260" s="314" t="s">
        <v>663</v>
      </c>
      <c r="C260" s="448"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37"/>
      <c r="E260" s="320">
        <f>IF(+'TD Info Completed by Auditor'!G78="Yes",1,IF(+'TD Info Completed by Auditor'!G78="No",2,IF(+'TD Info Completed by Auditor'!G78="N/A",3,0)))</f>
        <v>0</v>
      </c>
      <c r="F260" s="331"/>
      <c r="G260" s="333"/>
      <c r="H260" s="330"/>
      <c r="I260" s="38"/>
      <c r="J260" s="127">
        <v>976</v>
      </c>
      <c r="K260" s="458" t="s">
        <v>711</v>
      </c>
      <c r="L260" s="431">
        <f>IF(D260="",E260,D260)</f>
        <v>0</v>
      </c>
      <c r="N260" s="138" t="s">
        <v>750</v>
      </c>
      <c r="P260" s="303"/>
      <c r="W260" s="3" t="b">
        <f>EXACT(A260,J260)</f>
        <v>1</v>
      </c>
      <c r="X260" s="428"/>
      <c r="Y260" s="428"/>
    </row>
    <row r="261" spans="1:25" ht="109.95" customHeight="1" x14ac:dyDescent="0.3">
      <c r="A261" s="475">
        <v>336</v>
      </c>
      <c r="B261" s="350"/>
      <c r="C261" s="476" t="s">
        <v>794</v>
      </c>
      <c r="D261" s="477" t="s">
        <v>722</v>
      </c>
      <c r="E261" s="478" t="s">
        <v>723</v>
      </c>
      <c r="F261" s="351" t="s">
        <v>721</v>
      </c>
      <c r="G261" s="333"/>
      <c r="H261" s="330"/>
      <c r="I261" s="38"/>
      <c r="J261" s="352">
        <v>336</v>
      </c>
      <c r="K261" s="479" t="s">
        <v>726</v>
      </c>
      <c r="L261" s="480">
        <f>L10-L11-L12-L13-L14-L15-L16</f>
        <v>0</v>
      </c>
      <c r="M261" s="481"/>
      <c r="N261" s="362" t="s">
        <v>724</v>
      </c>
      <c r="P261" s="303"/>
      <c r="X261" s="428"/>
      <c r="Y261" s="428"/>
    </row>
    <row r="262" spans="1:25" ht="129" customHeight="1" x14ac:dyDescent="0.3">
      <c r="A262" s="475">
        <v>44</v>
      </c>
      <c r="B262" s="350"/>
      <c r="C262" s="482" t="s">
        <v>795</v>
      </c>
      <c r="D262" s="477" t="s">
        <v>713</v>
      </c>
      <c r="E262" s="483" t="s">
        <v>714</v>
      </c>
      <c r="F262" s="351" t="s">
        <v>721</v>
      </c>
      <c r="G262" s="333"/>
      <c r="H262" s="330"/>
      <c r="I262" s="38"/>
      <c r="J262" s="352">
        <v>44</v>
      </c>
      <c r="K262" s="479" t="s">
        <v>727</v>
      </c>
      <c r="L262" s="480">
        <f>L120-L121-L118</f>
        <v>0</v>
      </c>
      <c r="M262" s="481"/>
      <c r="N262" s="362" t="s">
        <v>725</v>
      </c>
      <c r="P262" s="303"/>
      <c r="X262" s="428"/>
      <c r="Y262" s="428"/>
    </row>
    <row r="263" spans="1:25" ht="169.5" customHeight="1" x14ac:dyDescent="0.3">
      <c r="A263" s="475">
        <v>45</v>
      </c>
      <c r="B263" s="350"/>
      <c r="C263" s="484" t="s">
        <v>796</v>
      </c>
      <c r="D263" s="477" t="s">
        <v>715</v>
      </c>
      <c r="E263" s="478" t="s">
        <v>716</v>
      </c>
      <c r="F263" s="351" t="s">
        <v>721</v>
      </c>
      <c r="G263" s="333"/>
      <c r="H263" s="330"/>
      <c r="I263" s="38"/>
      <c r="J263" s="352">
        <v>45</v>
      </c>
      <c r="K263" s="479" t="s">
        <v>728</v>
      </c>
      <c r="L263" s="480">
        <f>L124-L125-L126-L127-L128-L129-L123</f>
        <v>0</v>
      </c>
      <c r="M263" s="481"/>
      <c r="N263" s="362" t="s">
        <v>741</v>
      </c>
      <c r="P263" s="303"/>
      <c r="X263" s="428"/>
      <c r="Y263" s="428"/>
    </row>
    <row r="264" spans="1:25" ht="87.75" customHeight="1" x14ac:dyDescent="0.3">
      <c r="A264" s="475">
        <v>47</v>
      </c>
      <c r="B264" s="350"/>
      <c r="C264" s="351" t="s">
        <v>730</v>
      </c>
      <c r="D264" s="477" t="s">
        <v>717</v>
      </c>
      <c r="E264" s="478" t="s">
        <v>719</v>
      </c>
      <c r="F264" s="351" t="s">
        <v>721</v>
      </c>
      <c r="G264" s="333"/>
      <c r="H264" s="330"/>
      <c r="I264" s="38"/>
      <c r="J264" s="352">
        <v>47</v>
      </c>
      <c r="K264" s="479" t="s">
        <v>729</v>
      </c>
      <c r="L264" s="480">
        <f>L138-L139-L137</f>
        <v>0</v>
      </c>
      <c r="M264" s="481"/>
      <c r="N264" s="362" t="s">
        <v>742</v>
      </c>
      <c r="P264" s="303"/>
      <c r="X264" s="428"/>
      <c r="Y264" s="428"/>
    </row>
    <row r="265" spans="1:25" ht="152.25" customHeight="1" x14ac:dyDescent="0.3">
      <c r="A265" s="475">
        <v>48</v>
      </c>
      <c r="B265" s="350"/>
      <c r="C265" s="351" t="s">
        <v>731</v>
      </c>
      <c r="D265" s="477" t="s">
        <v>718</v>
      </c>
      <c r="E265" s="478" t="s">
        <v>720</v>
      </c>
      <c r="F265" s="351" t="s">
        <v>721</v>
      </c>
      <c r="G265" s="333"/>
      <c r="H265" s="330"/>
      <c r="I265" s="38"/>
      <c r="J265" s="352">
        <v>48</v>
      </c>
      <c r="K265" s="479" t="s">
        <v>123</v>
      </c>
      <c r="L265" s="480">
        <f>L143-L144-L145-L146-L147-L148-L142</f>
        <v>0</v>
      </c>
      <c r="M265" s="481"/>
      <c r="N265" s="362" t="s">
        <v>743</v>
      </c>
      <c r="P265" s="303"/>
      <c r="X265" s="428"/>
      <c r="Y265" s="428"/>
    </row>
    <row r="266" spans="1:25" ht="113.4" customHeight="1" x14ac:dyDescent="0.3">
      <c r="A266" s="485"/>
      <c r="B266" s="97"/>
      <c r="C266" s="486"/>
      <c r="D266" s="139"/>
      <c r="E266" s="147"/>
      <c r="F266" s="66"/>
      <c r="G266" s="141"/>
      <c r="H266" s="142"/>
      <c r="I266" s="38"/>
      <c r="J266" s="353">
        <v>998</v>
      </c>
      <c r="K266" s="354" t="s">
        <v>287</v>
      </c>
      <c r="L266" s="487" t="e">
        <f>HLOOKUP('Unit Data from Audit Worksheet'!$D$2,'2020 Data(H)'!A1:CZ400,247,FALSE)</f>
        <v>#N/A</v>
      </c>
      <c r="M266" s="481"/>
      <c r="N266" s="362" t="s">
        <v>732</v>
      </c>
      <c r="P266" s="299"/>
      <c r="W266" s="3" t="b">
        <f>EXACT(A266,J266)</f>
        <v>0</v>
      </c>
      <c r="X266" s="428" t="e">
        <f t="shared" si="21"/>
        <v>#N/A</v>
      </c>
      <c r="Y266" s="428" t="e">
        <f t="shared" si="22"/>
        <v>#N/A</v>
      </c>
    </row>
    <row r="267" spans="1:25" ht="119.4" customHeight="1" x14ac:dyDescent="0.3">
      <c r="A267" s="485"/>
      <c r="B267" s="97"/>
      <c r="C267" s="486"/>
      <c r="D267" s="488"/>
      <c r="E267" s="489"/>
      <c r="F267" s="490"/>
      <c r="G267" s="491"/>
      <c r="H267" s="492"/>
      <c r="I267" s="38"/>
      <c r="J267" s="355">
        <v>995</v>
      </c>
      <c r="K267" s="356" t="s">
        <v>285</v>
      </c>
      <c r="L267" s="493" t="e">
        <f>HLOOKUP('Unit Data from Audit Worksheet'!$D$2,'2020 Data(H)'!A1:CZ400,244,FALSE)</f>
        <v>#N/A</v>
      </c>
      <c r="M267" s="481"/>
      <c r="N267" s="362" t="s">
        <v>744</v>
      </c>
      <c r="P267" s="300"/>
      <c r="W267" s="3" t="b">
        <f>EXACT(A267,J267)</f>
        <v>0</v>
      </c>
      <c r="X267" s="494" t="e">
        <f t="shared" si="21"/>
        <v>#N/A</v>
      </c>
      <c r="Y267" s="428" t="e">
        <f t="shared" si="22"/>
        <v>#N/A</v>
      </c>
    </row>
    <row r="268" spans="1:25" ht="104.4" customHeight="1" x14ac:dyDescent="0.3">
      <c r="A268" s="485"/>
      <c r="B268" s="97"/>
      <c r="C268" s="486"/>
      <c r="D268" s="488"/>
      <c r="E268" s="489"/>
      <c r="F268" s="490"/>
      <c r="G268" s="491"/>
      <c r="H268" s="492"/>
      <c r="I268" s="38"/>
      <c r="J268" s="355">
        <v>996</v>
      </c>
      <c r="K268" s="356" t="s">
        <v>286</v>
      </c>
      <c r="L268" s="493" t="e">
        <f>HLOOKUP('Unit Data from Audit Worksheet'!$D$2,'2020 Data(H)'!A1:CZ400,245,FALSE)</f>
        <v>#N/A</v>
      </c>
      <c r="M268" s="481"/>
      <c r="N268" s="362" t="s">
        <v>745</v>
      </c>
      <c r="P268" s="300"/>
      <c r="W268" s="3" t="b">
        <f>EXACT(A268,J268)</f>
        <v>0</v>
      </c>
      <c r="X268" s="494" t="e">
        <f t="shared" si="21"/>
        <v>#N/A</v>
      </c>
      <c r="Y268" s="428" t="e">
        <f t="shared" si="22"/>
        <v>#N/A</v>
      </c>
    </row>
    <row r="269" spans="1:25" ht="43.2" x14ac:dyDescent="0.3">
      <c r="A269" s="485"/>
      <c r="B269" s="97"/>
      <c r="C269" s="486"/>
      <c r="D269" s="488"/>
      <c r="E269" s="489"/>
      <c r="F269" s="490"/>
      <c r="G269" s="491"/>
      <c r="H269" s="495"/>
      <c r="I269" s="38"/>
      <c r="J269" s="172">
        <v>554</v>
      </c>
      <c r="K269" s="496" t="s">
        <v>355</v>
      </c>
      <c r="L269" s="457"/>
      <c r="N269" s="497"/>
      <c r="P269" s="301"/>
      <c r="X269" s="494"/>
      <c r="Y269" s="428"/>
    </row>
    <row r="270" spans="1:25" ht="43.2" x14ac:dyDescent="0.3">
      <c r="A270" s="485"/>
      <c r="B270" s="97"/>
      <c r="C270" s="486"/>
      <c r="D270" s="488"/>
      <c r="E270" s="489"/>
      <c r="F270" s="490"/>
      <c r="G270" s="491"/>
      <c r="H270" s="495"/>
      <c r="I270" s="38"/>
      <c r="J270" s="172">
        <v>555</v>
      </c>
      <c r="K270" s="496" t="s">
        <v>356</v>
      </c>
      <c r="L270" s="457"/>
      <c r="N270" s="497"/>
      <c r="P270" s="301"/>
      <c r="X270" s="494"/>
      <c r="Y270" s="428"/>
    </row>
    <row r="271" spans="1:25" ht="43.2" x14ac:dyDescent="0.3">
      <c r="A271" s="485"/>
      <c r="B271" s="97"/>
      <c r="C271" s="486"/>
      <c r="D271" s="488"/>
      <c r="E271" s="489"/>
      <c r="F271" s="490"/>
      <c r="G271" s="491"/>
      <c r="H271" s="495"/>
      <c r="I271" s="38"/>
      <c r="J271" s="172">
        <v>556</v>
      </c>
      <c r="K271" s="496" t="s">
        <v>357</v>
      </c>
      <c r="L271" s="457"/>
      <c r="N271" s="497"/>
      <c r="P271" s="301"/>
      <c r="X271" s="494"/>
      <c r="Y271" s="428"/>
    </row>
    <row r="272" spans="1:25" ht="43.2" x14ac:dyDescent="0.3">
      <c r="A272" s="485"/>
      <c r="B272" s="97"/>
      <c r="C272" s="486"/>
      <c r="D272" s="488"/>
      <c r="E272" s="489"/>
      <c r="F272" s="490"/>
      <c r="G272" s="491"/>
      <c r="H272" s="495"/>
      <c r="I272" s="38"/>
      <c r="J272" s="172">
        <v>557</v>
      </c>
      <c r="K272" s="496" t="s">
        <v>358</v>
      </c>
      <c r="L272" s="457"/>
      <c r="N272" s="497"/>
      <c r="P272" s="301"/>
      <c r="X272" s="494"/>
      <c r="Y272" s="428"/>
    </row>
    <row r="273" spans="1:25" ht="43.2" x14ac:dyDescent="0.3">
      <c r="A273" s="485"/>
      <c r="B273" s="97"/>
      <c r="C273" s="486"/>
      <c r="D273" s="488"/>
      <c r="E273" s="489"/>
      <c r="F273" s="490"/>
      <c r="G273" s="491"/>
      <c r="H273" s="495"/>
      <c r="I273" s="38"/>
      <c r="J273" s="172">
        <v>606</v>
      </c>
      <c r="K273" s="496" t="s">
        <v>533</v>
      </c>
      <c r="L273" s="457"/>
      <c r="N273" s="497"/>
      <c r="P273" s="301"/>
      <c r="X273" s="494"/>
      <c r="Y273" s="428"/>
    </row>
    <row r="274" spans="1:25" ht="39.75" customHeight="1" x14ac:dyDescent="0.3">
      <c r="A274" s="485"/>
      <c r="B274" s="97"/>
      <c r="C274" s="486"/>
      <c r="D274" s="488"/>
      <c r="E274" s="489"/>
      <c r="F274" s="490"/>
      <c r="G274" s="491"/>
      <c r="H274" s="495"/>
      <c r="I274" s="38"/>
      <c r="J274" s="307">
        <v>662</v>
      </c>
      <c r="K274" s="498" t="s">
        <v>534</v>
      </c>
      <c r="L274" s="499"/>
      <c r="N274" s="497"/>
      <c r="P274" s="307"/>
      <c r="X274" s="494"/>
      <c r="Y274" s="428"/>
    </row>
    <row r="275" spans="1:25" ht="39" customHeight="1" x14ac:dyDescent="0.3">
      <c r="A275" s="485"/>
      <c r="B275" s="97"/>
      <c r="C275" s="486"/>
      <c r="D275" s="488"/>
      <c r="E275" s="489"/>
      <c r="F275" s="490"/>
      <c r="G275" s="491"/>
      <c r="H275" s="495"/>
      <c r="I275" s="38"/>
      <c r="J275" s="307">
        <v>663</v>
      </c>
      <c r="K275" s="500" t="s">
        <v>535</v>
      </c>
      <c r="L275" s="499"/>
      <c r="N275" s="497"/>
      <c r="P275" s="307"/>
      <c r="X275" s="494"/>
      <c r="Y275" s="428"/>
    </row>
    <row r="276" spans="1:25" s="18" customFormat="1" ht="22.5" customHeight="1" x14ac:dyDescent="0.3">
      <c r="A276" s="485"/>
      <c r="B276" s="97"/>
      <c r="C276" s="486"/>
      <c r="D276" s="139"/>
      <c r="E276" s="140"/>
      <c r="F276" s="66"/>
      <c r="G276" s="141"/>
      <c r="H276" s="142"/>
      <c r="I276" s="38"/>
      <c r="J276" s="143"/>
      <c r="K276" s="501"/>
      <c r="L276" s="502"/>
      <c r="N276" s="360"/>
      <c r="P276" s="301"/>
      <c r="Q276" s="421"/>
      <c r="W276" s="18" t="b">
        <f t="shared" ref="W276:W284" si="27">EXACT(A276,J276)</f>
        <v>1</v>
      </c>
      <c r="X276" s="437">
        <f t="shared" si="21"/>
        <v>0</v>
      </c>
      <c r="Y276" s="437">
        <f t="shared" si="22"/>
        <v>0</v>
      </c>
    </row>
    <row r="277" spans="1:25" ht="99" customHeight="1" x14ac:dyDescent="0.3">
      <c r="A277" s="318">
        <f>'Unit Data from Audit Worksheet'!A304</f>
        <v>947</v>
      </c>
      <c r="B277" s="132"/>
      <c r="C277" s="317" t="str">
        <f>'Unit Data from Audit Worksheet'!D304</f>
        <v>First name of finance officer or interim finance officer (please enter “vacant” for first name if the position is currently vacant)</v>
      </c>
      <c r="D277" s="340"/>
      <c r="E277" s="187">
        <f>'Unit Data from Audit Worksheet'!F304</f>
        <v>0</v>
      </c>
      <c r="F277" s="331" t="str">
        <f>'Unit Data from Audit Worksheet'!G304</f>
        <v>Please do not leave blank</v>
      </c>
      <c r="G277" s="333"/>
      <c r="H277" s="330"/>
      <c r="I277" s="38"/>
      <c r="J277" s="176">
        <v>947</v>
      </c>
      <c r="K277" s="503" t="s">
        <v>488</v>
      </c>
      <c r="L277" s="504">
        <f t="shared" ref="L277:L290" si="28">IF(D277="",E277,D277)</f>
        <v>0</v>
      </c>
      <c r="N277" s="497"/>
      <c r="P277" s="307"/>
      <c r="Q277" s="463">
        <f t="shared" ref="Q277:Q284" si="29">IF(L277=0,1,0)</f>
        <v>1</v>
      </c>
      <c r="W277" s="3" t="b">
        <f t="shared" si="27"/>
        <v>1</v>
      </c>
      <c r="X277" s="428">
        <f t="shared" ref="X277:X291" si="30">E277-L277</f>
        <v>0</v>
      </c>
      <c r="Y277" s="428">
        <f t="shared" ref="Y277:Y291" si="31">D277-L277</f>
        <v>0</v>
      </c>
    </row>
    <row r="278" spans="1:25" ht="128.25" customHeight="1" x14ac:dyDescent="0.3">
      <c r="A278" s="318">
        <f>'Unit Data from Audit Worksheet'!A305</f>
        <v>948</v>
      </c>
      <c r="B278" s="132"/>
      <c r="C278" s="317" t="str">
        <f>'Unit Data from Audit Worksheet'!D305</f>
        <v>Last name of finance officer or interim finance officer (please enter “vacant” for last name if the position is currently vacant)</v>
      </c>
      <c r="D278" s="340"/>
      <c r="E278" s="505">
        <f>'Unit Data from Audit Worksheet'!F305</f>
        <v>0</v>
      </c>
      <c r="F278" s="331" t="str">
        <f>'Unit Data from Audit Worksheet'!G305</f>
        <v>Please do not leave blank</v>
      </c>
      <c r="G278" s="333"/>
      <c r="H278" s="330"/>
      <c r="I278" s="38"/>
      <c r="J278" s="176">
        <v>948</v>
      </c>
      <c r="K278" s="503" t="s">
        <v>489</v>
      </c>
      <c r="L278" s="504">
        <f t="shared" si="28"/>
        <v>0</v>
      </c>
      <c r="N278" s="497"/>
      <c r="P278" s="307"/>
      <c r="Q278" s="463">
        <f t="shared" si="29"/>
        <v>1</v>
      </c>
      <c r="W278" s="3" t="b">
        <f t="shared" si="27"/>
        <v>1</v>
      </c>
      <c r="X278" s="428">
        <f t="shared" si="30"/>
        <v>0</v>
      </c>
      <c r="Y278" s="428">
        <f t="shared" si="31"/>
        <v>0</v>
      </c>
    </row>
    <row r="279" spans="1:25" ht="61.5" customHeight="1" x14ac:dyDescent="0.3">
      <c r="A279" s="318">
        <f>'Unit Data from Audit Worksheet'!A306</f>
        <v>949</v>
      </c>
      <c r="B279" s="132"/>
      <c r="C279" s="317" t="str">
        <f>'Unit Data from Audit Worksheet'!D306</f>
        <v>Is the finance officer serving in a permanent role or an interim role? (select permanent/interim/vacant)</v>
      </c>
      <c r="D279" s="340"/>
      <c r="E279" s="187">
        <f>'Unit Data from Audit Worksheet'!F306</f>
        <v>0</v>
      </c>
      <c r="F279" s="331" t="str">
        <f>'Unit Data from Audit Worksheet'!G306</f>
        <v>Please do not leave blank</v>
      </c>
      <c r="G279" s="333"/>
      <c r="H279" s="330"/>
      <c r="I279" s="38"/>
      <c r="J279" s="176">
        <v>949</v>
      </c>
      <c r="K279" s="503" t="s">
        <v>517</v>
      </c>
      <c r="L279" s="504">
        <f t="shared" si="28"/>
        <v>0</v>
      </c>
      <c r="N279" s="497"/>
      <c r="P279" s="307"/>
      <c r="Q279" s="463">
        <f t="shared" si="29"/>
        <v>1</v>
      </c>
      <c r="W279" s="3" t="b">
        <f t="shared" si="27"/>
        <v>1</v>
      </c>
      <c r="X279" s="428">
        <f t="shared" si="30"/>
        <v>0</v>
      </c>
      <c r="Y279" s="428">
        <f t="shared" si="31"/>
        <v>0</v>
      </c>
    </row>
    <row r="280" spans="1:25" ht="93.75" customHeight="1" x14ac:dyDescent="0.3">
      <c r="A280" s="318">
        <f>'Unit Data from Audit Worksheet'!A307</f>
        <v>950</v>
      </c>
      <c r="B280" s="132"/>
      <c r="C280" s="317" t="str">
        <f>'Unit Data from Audit Worksheet'!D307</f>
        <v>Has the finance officer been formally appointed by the local government, public authority, or designated official?  (Y/N)</v>
      </c>
      <c r="D280" s="340"/>
      <c r="E280" s="187">
        <f>'Unit Data from Audit Worksheet'!F307</f>
        <v>0</v>
      </c>
      <c r="F280" s="331" t="str">
        <f>'Unit Data from Audit Worksheet'!G307</f>
        <v>Please do not leave blank</v>
      </c>
      <c r="G280" s="333"/>
      <c r="H280" s="330"/>
      <c r="I280" s="38"/>
      <c r="J280" s="176">
        <v>950</v>
      </c>
      <c r="K280" s="503" t="s">
        <v>518</v>
      </c>
      <c r="L280" s="504">
        <f t="shared" si="28"/>
        <v>0</v>
      </c>
      <c r="N280" s="497"/>
      <c r="P280" s="307"/>
      <c r="Q280" s="463">
        <f t="shared" si="29"/>
        <v>1</v>
      </c>
      <c r="W280" s="3" t="b">
        <f t="shared" si="27"/>
        <v>1</v>
      </c>
      <c r="X280" s="428">
        <f t="shared" si="30"/>
        <v>0</v>
      </c>
      <c r="Y280" s="428">
        <f t="shared" si="31"/>
        <v>0</v>
      </c>
    </row>
    <row r="281" spans="1:25" ht="153.75" customHeight="1" x14ac:dyDescent="0.3">
      <c r="A281" s="318">
        <f>'Unit Data from Audit Worksheet'!A308</f>
        <v>952</v>
      </c>
      <c r="B281" s="132"/>
      <c r="C281" s="317"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40"/>
      <c r="E281" s="136" t="str">
        <f>IF('Unit Data from Audit Worksheet'!F308&gt;0,'Unit Data from Audit Worksheet'!F308," ")</f>
        <v xml:space="preserve"> </v>
      </c>
      <c r="F281" s="331" t="str">
        <f>'Unit Data from Audit Worksheet'!G308</f>
        <v>Leave blank if data not available</v>
      </c>
      <c r="G281" s="333"/>
      <c r="H281" s="330"/>
      <c r="I281" s="38"/>
      <c r="J281" s="176">
        <v>952</v>
      </c>
      <c r="K281" s="503" t="s">
        <v>519</v>
      </c>
      <c r="L281" s="506" t="str">
        <f t="shared" si="28"/>
        <v xml:space="preserve"> </v>
      </c>
      <c r="N281" s="497"/>
      <c r="P281" s="307"/>
      <c r="Q281" s="463">
        <f t="shared" si="29"/>
        <v>0</v>
      </c>
      <c r="W281" s="3" t="b">
        <f t="shared" si="27"/>
        <v>1</v>
      </c>
      <c r="X281" s="428" t="e">
        <f t="shared" si="30"/>
        <v>#VALUE!</v>
      </c>
      <c r="Y281" s="428" t="e">
        <f t="shared" si="31"/>
        <v>#VALUE!</v>
      </c>
    </row>
    <row r="282" spans="1:25" ht="153.75" customHeight="1" x14ac:dyDescent="0.3">
      <c r="A282" s="318">
        <f>'Unit Data from Audit Worksheet'!A309</f>
        <v>954</v>
      </c>
      <c r="B282" s="132"/>
      <c r="C282" s="317" t="str">
        <f>'Unit Data from Audit Worksheet'!D309</f>
        <v>Has the finance officer or interim finance officer read, understand, and is in compliance with the requirements of N.C.G.S. 159, as applicable based on unit type and circumstances? (Y/N)</v>
      </c>
      <c r="D282" s="340"/>
      <c r="E282" s="187">
        <f>'Unit Data from Audit Worksheet'!F309</f>
        <v>0</v>
      </c>
      <c r="F282" s="331" t="str">
        <f>'Unit Data from Audit Worksheet'!G309</f>
        <v>Please do not leave blank</v>
      </c>
      <c r="G282" s="333"/>
      <c r="H282" s="330"/>
      <c r="I282" s="38"/>
      <c r="J282" s="176">
        <v>954</v>
      </c>
      <c r="K282" s="503" t="s">
        <v>520</v>
      </c>
      <c r="L282" s="504">
        <f t="shared" si="28"/>
        <v>0</v>
      </c>
      <c r="N282" s="497"/>
      <c r="P282" s="307"/>
      <c r="Q282" s="463">
        <f t="shared" si="29"/>
        <v>1</v>
      </c>
      <c r="W282" s="3" t="b">
        <f t="shared" si="27"/>
        <v>1</v>
      </c>
      <c r="X282" s="428">
        <f t="shared" si="30"/>
        <v>0</v>
      </c>
      <c r="Y282" s="428">
        <f t="shared" si="31"/>
        <v>0</v>
      </c>
    </row>
    <row r="283" spans="1:25" ht="153.75" customHeight="1" x14ac:dyDescent="0.3">
      <c r="A283" s="318">
        <f>'Unit Data from Audit Worksheet'!A310</f>
        <v>956</v>
      </c>
      <c r="B283" s="132"/>
      <c r="C283" s="317" t="str">
        <f>'Unit Data from Audit Worksheet'!D310</f>
        <v>Does the finance officer or interim finance officer maintain and update (or ensures the maintenance and update of)  financial records monthly, including reconciliation of bank accounts to the general ledger? (Y/N)</v>
      </c>
      <c r="D283" s="340"/>
      <c r="E283" s="187">
        <f>'Unit Data from Audit Worksheet'!F310</f>
        <v>0</v>
      </c>
      <c r="F283" s="331" t="str">
        <f>'Unit Data from Audit Worksheet'!G310</f>
        <v>Please do not leave blank</v>
      </c>
      <c r="G283" s="333"/>
      <c r="H283" s="330"/>
      <c r="I283" s="38"/>
      <c r="J283" s="176">
        <v>956</v>
      </c>
      <c r="K283" s="503" t="s">
        <v>521</v>
      </c>
      <c r="L283" s="504">
        <f t="shared" si="28"/>
        <v>0</v>
      </c>
      <c r="N283" s="497"/>
      <c r="P283" s="307"/>
      <c r="Q283" s="463">
        <f t="shared" si="29"/>
        <v>1</v>
      </c>
      <c r="W283" s="3" t="b">
        <f t="shared" si="27"/>
        <v>1</v>
      </c>
      <c r="X283" s="428">
        <f t="shared" si="30"/>
        <v>0</v>
      </c>
      <c r="Y283" s="428">
        <f t="shared" si="31"/>
        <v>0</v>
      </c>
    </row>
    <row r="284" spans="1:25" ht="201.6" x14ac:dyDescent="0.3">
      <c r="A284" s="318">
        <f>'Unit Data from Audit Worksheet'!A311</f>
        <v>958</v>
      </c>
      <c r="B284" s="132"/>
      <c r="C284" s="317"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40"/>
      <c r="E284" s="187">
        <f>'Unit Data from Audit Worksheet'!F311</f>
        <v>0</v>
      </c>
      <c r="F284" s="331" t="str">
        <f>'Unit Data from Audit Worksheet'!G311</f>
        <v>Please do not leave blank</v>
      </c>
      <c r="G284" s="333"/>
      <c r="H284" s="330"/>
      <c r="I284" s="38"/>
      <c r="J284" s="176">
        <v>958</v>
      </c>
      <c r="K284" s="503" t="s">
        <v>522</v>
      </c>
      <c r="L284" s="507">
        <f t="shared" si="28"/>
        <v>0</v>
      </c>
      <c r="N284" s="497"/>
      <c r="P284" s="307"/>
      <c r="Q284" s="463">
        <f t="shared" si="29"/>
        <v>1</v>
      </c>
      <c r="W284" s="3" t="b">
        <f t="shared" si="27"/>
        <v>1</v>
      </c>
      <c r="X284" s="428">
        <f t="shared" si="30"/>
        <v>0</v>
      </c>
      <c r="Y284" s="428">
        <f t="shared" si="31"/>
        <v>0</v>
      </c>
    </row>
    <row r="285" spans="1:25" ht="30.75" customHeight="1" x14ac:dyDescent="0.3">
      <c r="A285" s="508">
        <f>'Unit Data from Audit Worksheet'!A319</f>
        <v>960</v>
      </c>
      <c r="B285" s="183"/>
      <c r="C285" s="184" t="str">
        <f>'Unit Data from Audit Worksheet'!B319</f>
        <v>Name of Finance Officer</v>
      </c>
      <c r="D285" s="340"/>
      <c r="E285" s="509">
        <f>'Unit Data from Audit Worksheet'!D319</f>
        <v>0</v>
      </c>
      <c r="F285" s="510" t="str">
        <f>'Unit Data from Audit Worksheet'!F319</f>
        <v>Required</v>
      </c>
      <c r="G285" s="333"/>
      <c r="H285" s="330"/>
      <c r="I285" s="38"/>
      <c r="J285" s="186">
        <v>960</v>
      </c>
      <c r="K285" s="511" t="s">
        <v>513</v>
      </c>
      <c r="L285" s="512">
        <f t="shared" si="28"/>
        <v>0</v>
      </c>
      <c r="N285" s="455"/>
      <c r="P285" s="307"/>
      <c r="Q285" s="463">
        <f>IF(L285=0,1,0)</f>
        <v>1</v>
      </c>
      <c r="X285" s="428"/>
      <c r="Y285" s="428"/>
    </row>
    <row r="286" spans="1:25" ht="30.75" customHeight="1" x14ac:dyDescent="0.3">
      <c r="A286" s="508">
        <f>'Unit Data from Audit Worksheet'!A320</f>
        <v>962</v>
      </c>
      <c r="B286" s="183"/>
      <c r="C286" s="184" t="str">
        <f>'Unit Data from Audit Worksheet'!B320</f>
        <v>Title of Official</v>
      </c>
      <c r="D286" s="340"/>
      <c r="E286" s="509">
        <f>'Unit Data from Audit Worksheet'!D320</f>
        <v>0</v>
      </c>
      <c r="F286" s="510" t="str">
        <f>'Unit Data from Audit Worksheet'!F320</f>
        <v>Required</v>
      </c>
      <c r="G286" s="333"/>
      <c r="H286" s="330"/>
      <c r="I286" s="38"/>
      <c r="J286" s="186">
        <v>962</v>
      </c>
      <c r="K286" s="511" t="s">
        <v>473</v>
      </c>
      <c r="L286" s="512">
        <f t="shared" si="28"/>
        <v>0</v>
      </c>
      <c r="N286" s="455"/>
      <c r="P286" s="307"/>
      <c r="Q286" s="463">
        <f>IF(L286=0,1,0)</f>
        <v>1</v>
      </c>
      <c r="X286" s="428"/>
      <c r="Y286" s="428"/>
    </row>
    <row r="287" spans="1:25" ht="30.75" customHeight="1" x14ac:dyDescent="0.3">
      <c r="A287" s="508">
        <f>'Unit Data from Audit Worksheet'!A321</f>
        <v>964</v>
      </c>
      <c r="B287" s="183"/>
      <c r="C287" s="185" t="str">
        <f>'Unit Data from Audit Worksheet'!B321</f>
        <v>Date                        (Enter as "MM/DD/YYYY")</v>
      </c>
      <c r="D287" s="340"/>
      <c r="E287" s="513" t="str">
        <f>IF('Unit Data from Audit Worksheet'!D321&gt;0,'Unit Data from Audit Worksheet'!D321," ")</f>
        <v xml:space="preserve"> </v>
      </c>
      <c r="F287" s="510" t="str">
        <f>'Unit Data from Audit Worksheet'!F321</f>
        <v>Required</v>
      </c>
      <c r="G287" s="333"/>
      <c r="H287" s="330"/>
      <c r="I287" s="38"/>
      <c r="J287" s="186">
        <v>964</v>
      </c>
      <c r="K287" s="511" t="s">
        <v>545</v>
      </c>
      <c r="L287" s="514" t="str">
        <f t="shared" si="28"/>
        <v xml:space="preserve"> </v>
      </c>
      <c r="N287" s="455"/>
      <c r="P287" s="307"/>
      <c r="Q287" s="463">
        <f>IF(L287=0,1,0)</f>
        <v>0</v>
      </c>
      <c r="X287" s="428"/>
      <c r="Y287" s="428"/>
    </row>
    <row r="288" spans="1:25" ht="30.75" customHeight="1" x14ac:dyDescent="0.3">
      <c r="A288" s="508">
        <f>'Unit Data from Audit Worksheet'!A322</f>
        <v>966</v>
      </c>
      <c r="B288" s="183"/>
      <c r="C288" s="184" t="str">
        <f>'Unit Data from Audit Worksheet'!B322</f>
        <v>Telephone number</v>
      </c>
      <c r="D288" s="340"/>
      <c r="E288" s="509">
        <f>'Unit Data from Audit Worksheet'!D322</f>
        <v>0</v>
      </c>
      <c r="F288" s="510" t="str">
        <f>'Unit Data from Audit Worksheet'!F322</f>
        <v>Required</v>
      </c>
      <c r="G288" s="333"/>
      <c r="H288" s="330"/>
      <c r="I288" s="38"/>
      <c r="J288" s="186">
        <v>966</v>
      </c>
      <c r="K288" s="511" t="s">
        <v>475</v>
      </c>
      <c r="L288" s="512">
        <f t="shared" si="28"/>
        <v>0</v>
      </c>
      <c r="N288" s="455"/>
      <c r="P288" s="307"/>
      <c r="Q288" s="463">
        <f>IF(L288=0,1,0)</f>
        <v>1</v>
      </c>
      <c r="X288" s="428"/>
      <c r="Y288" s="428"/>
    </row>
    <row r="289" spans="1:25" ht="30.75" customHeight="1" x14ac:dyDescent="0.3">
      <c r="A289" s="508">
        <f>'Unit Data from Audit Worksheet'!A323</f>
        <v>968</v>
      </c>
      <c r="B289" s="183"/>
      <c r="C289" s="184" t="str">
        <f>'Unit Data from Audit Worksheet'!B323</f>
        <v>E-mail address</v>
      </c>
      <c r="D289" s="340"/>
      <c r="E289" s="509">
        <f>'Unit Data from Audit Worksheet'!D323</f>
        <v>0</v>
      </c>
      <c r="F289" s="510" t="str">
        <f>'Unit Data from Audit Worksheet'!F323</f>
        <v>Required</v>
      </c>
      <c r="G289" s="333"/>
      <c r="H289" s="330"/>
      <c r="I289" s="38"/>
      <c r="J289" s="186">
        <v>968</v>
      </c>
      <c r="K289" s="511" t="s">
        <v>476</v>
      </c>
      <c r="L289" s="512">
        <f t="shared" si="28"/>
        <v>0</v>
      </c>
      <c r="N289" s="455"/>
      <c r="P289" s="307"/>
      <c r="Q289" s="463">
        <f>IF(L289=0,1,0)</f>
        <v>1</v>
      </c>
      <c r="X289" s="428"/>
      <c r="Y289" s="428"/>
    </row>
    <row r="290" spans="1:25" ht="75.599999999999994" customHeight="1" x14ac:dyDescent="0.3">
      <c r="A290" s="515">
        <f>+'TD Info Completed by Auditor'!D74</f>
        <v>980</v>
      </c>
      <c r="B290" s="350" t="s">
        <v>663</v>
      </c>
      <c r="C290" s="363" t="str">
        <f>+'TD Info Completed by Auditor'!E74</f>
        <v>Date the Auditor presented or plans to present the Audit to the Governing Board</v>
      </c>
      <c r="D290" s="340"/>
      <c r="E290" s="516" t="str">
        <f>IF('TD Info Completed by Auditor'!G74&gt;0,'TD Info Completed by Auditor'!G74," ")</f>
        <v xml:space="preserve"> </v>
      </c>
      <c r="F290" s="517" t="s">
        <v>748</v>
      </c>
      <c r="G290" s="333"/>
      <c r="H290" s="330"/>
      <c r="I290" s="38"/>
      <c r="J290" s="364">
        <v>980</v>
      </c>
      <c r="K290" s="365" t="s">
        <v>628</v>
      </c>
      <c r="L290" s="518" t="str">
        <f t="shared" si="28"/>
        <v xml:space="preserve"> </v>
      </c>
      <c r="N290" s="455"/>
      <c r="P290" s="307"/>
      <c r="Q290" s="463"/>
      <c r="X290" s="428"/>
      <c r="Y290" s="428"/>
    </row>
    <row r="291" spans="1:25" ht="83.4" customHeight="1" x14ac:dyDescent="0.3">
      <c r="A291" s="485"/>
      <c r="B291" s="97"/>
      <c r="C291" s="486"/>
      <c r="D291" s="488"/>
      <c r="E291" s="489"/>
      <c r="F291" s="490"/>
      <c r="G291" s="491"/>
      <c r="H291" s="492"/>
      <c r="I291" s="38"/>
      <c r="J291" s="176">
        <v>999</v>
      </c>
      <c r="K291" s="503" t="s">
        <v>288</v>
      </c>
      <c r="L291" s="519" t="e">
        <f>'Unit Data from Audit Worksheet'!D3</f>
        <v>#N/A</v>
      </c>
      <c r="M291" s="481"/>
      <c r="N291" s="520" t="s">
        <v>747</v>
      </c>
      <c r="O291" s="520" t="s">
        <v>746</v>
      </c>
      <c r="P291" s="307"/>
      <c r="W291" s="3" t="b">
        <f>EXACT(A291,J291)</f>
        <v>0</v>
      </c>
      <c r="X291" s="428" t="e">
        <f t="shared" si="30"/>
        <v>#N/A</v>
      </c>
      <c r="Y291" s="428" t="e">
        <f t="shared" si="31"/>
        <v>#N/A</v>
      </c>
    </row>
    <row r="292" spans="1:25" x14ac:dyDescent="0.3">
      <c r="A292" s="282"/>
      <c r="B292" s="282"/>
      <c r="C292" s="282"/>
      <c r="D292" s="282"/>
      <c r="E292" s="282"/>
      <c r="F292" s="282"/>
      <c r="G292" s="282"/>
      <c r="H292" s="282"/>
      <c r="I292" s="282"/>
      <c r="J292" s="3"/>
      <c r="K292" s="3"/>
      <c r="L292" s="3"/>
      <c r="N292" s="4"/>
      <c r="P292" s="308"/>
    </row>
    <row r="293" spans="1:25" x14ac:dyDescent="0.3">
      <c r="D293" s="522"/>
      <c r="E293" s="523"/>
      <c r="F293" s="523"/>
      <c r="G293" s="524"/>
      <c r="H293" s="523"/>
      <c r="I293" s="525"/>
      <c r="K293" s="10"/>
      <c r="L293" s="526"/>
      <c r="N293" s="4"/>
      <c r="P293" s="308"/>
    </row>
    <row r="294" spans="1:25" ht="18" x14ac:dyDescent="0.35">
      <c r="A294" s="165" t="s">
        <v>436</v>
      </c>
      <c r="B294" s="166"/>
      <c r="C294" s="167"/>
      <c r="D294" s="168"/>
      <c r="E294" s="169"/>
      <c r="F294" s="523"/>
      <c r="G294" s="524"/>
      <c r="H294" s="523"/>
      <c r="I294" s="525"/>
      <c r="L294" s="526"/>
      <c r="N294" s="4"/>
      <c r="P294" s="308"/>
    </row>
    <row r="295" spans="1:25" ht="117" customHeight="1" x14ac:dyDescent="0.7">
      <c r="A295" s="318">
        <f>'Unit Data from Audit Worksheet'!A88</f>
        <v>590</v>
      </c>
      <c r="B295" s="318"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524"/>
      <c r="H295" s="523"/>
      <c r="I295" s="525"/>
      <c r="J295" s="158" t="e">
        <f>SUM(Q5:Q295)</f>
        <v>#N/A</v>
      </c>
      <c r="K295" s="157" t="s">
        <v>510</v>
      </c>
      <c r="L295" s="526" t="e">
        <f>SUM(G5:G245)</f>
        <v>#N/A</v>
      </c>
      <c r="N295" s="4"/>
      <c r="P295" s="308"/>
    </row>
    <row r="296" spans="1:25" ht="14.25" customHeight="1" x14ac:dyDescent="0.3">
      <c r="A296" s="282"/>
      <c r="B296" s="282"/>
      <c r="C296" s="282"/>
      <c r="D296" s="282"/>
      <c r="E296" s="282"/>
      <c r="F296" s="523"/>
      <c r="G296" s="524"/>
      <c r="H296" s="523"/>
      <c r="I296" s="525"/>
      <c r="K296" s="10"/>
      <c r="L296" s="527"/>
      <c r="P296" s="308"/>
      <c r="Q296" s="85"/>
    </row>
    <row r="297" spans="1:25" x14ac:dyDescent="0.3">
      <c r="A297" s="282"/>
      <c r="B297" s="282"/>
      <c r="C297" s="282"/>
      <c r="D297" s="282"/>
      <c r="E297" s="282"/>
      <c r="F297" s="523"/>
      <c r="G297" s="524"/>
      <c r="H297" s="523"/>
      <c r="I297" s="525"/>
      <c r="K297" s="10"/>
      <c r="L297" s="527"/>
      <c r="P297" s="308"/>
    </row>
    <row r="298" spans="1:25" ht="18.75" customHeight="1" x14ac:dyDescent="0.3">
      <c r="A298" s="282"/>
      <c r="B298" s="282"/>
      <c r="C298" s="282"/>
      <c r="D298" s="282"/>
      <c r="E298" s="282"/>
      <c r="F298" s="523"/>
      <c r="G298" s="524"/>
      <c r="H298" s="523"/>
      <c r="I298" s="525"/>
      <c r="J298" s="5">
        <f>SUM(J5:J245)</f>
        <v>98821</v>
      </c>
      <c r="K298" s="10"/>
      <c r="L298" s="527"/>
      <c r="P298" s="308"/>
    </row>
    <row r="299" spans="1:25" ht="30.75" customHeight="1" x14ac:dyDescent="0.3">
      <c r="A299" s="282"/>
      <c r="B299" s="282"/>
      <c r="C299" s="282"/>
      <c r="D299" s="282"/>
      <c r="E299" s="282"/>
      <c r="F299" s="523"/>
      <c r="G299" s="524"/>
      <c r="H299" s="523"/>
      <c r="I299" s="525"/>
      <c r="J299" s="5">
        <f>SUM(J261:J265)+SUM(J277:J290)</f>
        <v>13934</v>
      </c>
      <c r="K299" s="10"/>
      <c r="L299" s="527"/>
      <c r="P299" s="308"/>
    </row>
    <row r="300" spans="1:25" ht="30.75" customHeight="1" x14ac:dyDescent="0.3">
      <c r="A300" s="282"/>
      <c r="B300" s="282"/>
      <c r="C300" s="282"/>
      <c r="D300" s="282"/>
      <c r="E300" s="282"/>
      <c r="F300" s="523"/>
      <c r="G300" s="524"/>
      <c r="H300" s="523"/>
      <c r="I300" s="525"/>
      <c r="J300" s="5">
        <f>+J298+J299</f>
        <v>112755</v>
      </c>
      <c r="K300" s="10"/>
      <c r="L300" s="527"/>
      <c r="P300" s="308"/>
    </row>
    <row r="301" spans="1:25" ht="30.75" customHeight="1" x14ac:dyDescent="0.3">
      <c r="A301" s="282"/>
      <c r="B301" s="282"/>
      <c r="C301" s="282"/>
      <c r="D301" s="282"/>
      <c r="E301" s="282"/>
      <c r="F301" s="523"/>
      <c r="G301" s="524"/>
      <c r="H301" s="523"/>
      <c r="I301" s="525"/>
      <c r="J301" s="5">
        <f>+'Unit Data from Audit Worksheet'!A327</f>
        <v>38722</v>
      </c>
      <c r="K301" s="10"/>
      <c r="L301" s="527"/>
      <c r="P301" s="308"/>
    </row>
    <row r="302" spans="1:25" ht="30.75" customHeight="1" x14ac:dyDescent="0.3">
      <c r="A302" s="282"/>
      <c r="B302" s="282"/>
      <c r="C302" s="282"/>
      <c r="D302" s="282"/>
      <c r="E302" s="282"/>
      <c r="F302" s="523"/>
      <c r="G302" s="524"/>
      <c r="H302" s="523"/>
      <c r="I302" s="525"/>
      <c r="J302" s="5">
        <f>+J300-J301</f>
        <v>74033</v>
      </c>
      <c r="K302" s="10"/>
      <c r="L302" s="527"/>
      <c r="P302" s="308"/>
    </row>
    <row r="303" spans="1:25" ht="30.75" customHeight="1" x14ac:dyDescent="0.3">
      <c r="A303" s="282"/>
      <c r="B303" s="282"/>
      <c r="C303" s="282"/>
      <c r="D303" s="282"/>
      <c r="E303" s="282"/>
      <c r="F303" s="523"/>
      <c r="G303" s="524"/>
      <c r="H303" s="523"/>
      <c r="I303" s="525"/>
      <c r="K303" s="10"/>
      <c r="L303" s="527"/>
      <c r="P303" s="308"/>
    </row>
    <row r="304" spans="1:25" x14ac:dyDescent="0.3">
      <c r="A304" s="282"/>
      <c r="B304" s="282"/>
      <c r="C304" s="282"/>
      <c r="D304" s="282"/>
      <c r="E304" s="282"/>
      <c r="I304" s="525"/>
      <c r="K304" s="10"/>
      <c r="L304" s="527"/>
      <c r="P304" s="308"/>
    </row>
    <row r="305" spans="1:16" x14ac:dyDescent="0.3">
      <c r="A305" s="282"/>
      <c r="B305" s="282"/>
      <c r="C305" s="282"/>
      <c r="D305" s="282"/>
      <c r="E305" s="282"/>
      <c r="I305" s="525"/>
      <c r="L305" s="527"/>
      <c r="P305" s="308"/>
    </row>
    <row r="306" spans="1:16" x14ac:dyDescent="0.3">
      <c r="A306" s="5"/>
      <c r="B306" s="528"/>
      <c r="C306" s="26"/>
      <c r="D306" s="79"/>
      <c r="I306" s="525"/>
      <c r="L306" s="527"/>
      <c r="P306" s="308"/>
    </row>
    <row r="307" spans="1:16" x14ac:dyDescent="0.3">
      <c r="A307" s="5"/>
      <c r="B307" s="528"/>
      <c r="C307" s="26"/>
      <c r="D307" s="79"/>
      <c r="L307" s="527"/>
      <c r="P307" s="308"/>
    </row>
    <row r="308" spans="1:16" x14ac:dyDescent="0.3">
      <c r="D308" s="79"/>
      <c r="P308" s="308"/>
    </row>
    <row r="309" spans="1:16" x14ac:dyDescent="0.3">
      <c r="D309" s="79"/>
      <c r="P309" s="308"/>
    </row>
    <row r="310" spans="1:16" x14ac:dyDescent="0.3">
      <c r="D310" s="79"/>
      <c r="P310" s="308"/>
    </row>
    <row r="311" spans="1:16" x14ac:dyDescent="0.3">
      <c r="D311" s="79"/>
      <c r="P311" s="308"/>
    </row>
    <row r="312" spans="1:16" x14ac:dyDescent="0.3">
      <c r="A312" s="5"/>
      <c r="B312" s="528"/>
      <c r="C312" s="26"/>
      <c r="D312" s="79"/>
      <c r="P312" s="308"/>
    </row>
    <row r="313" spans="1:16" x14ac:dyDescent="0.3">
      <c r="A313" s="5"/>
      <c r="B313" s="528"/>
      <c r="C313" s="26"/>
      <c r="D313" s="79"/>
      <c r="P313" s="308"/>
    </row>
    <row r="314" spans="1:16" x14ac:dyDescent="0.3">
      <c r="D314" s="79"/>
      <c r="P314" s="308"/>
    </row>
    <row r="315" spans="1:16" x14ac:dyDescent="0.3">
      <c r="D315" s="79"/>
      <c r="P315" s="308"/>
    </row>
    <row r="316" spans="1:16" x14ac:dyDescent="0.3">
      <c r="D316" s="79"/>
      <c r="P316" s="308"/>
    </row>
    <row r="317" spans="1:16" x14ac:dyDescent="0.3">
      <c r="D317" s="79"/>
      <c r="P317" s="308"/>
    </row>
    <row r="318" spans="1:16" x14ac:dyDescent="0.3">
      <c r="A318" s="5"/>
      <c r="B318" s="528"/>
      <c r="C318" s="26"/>
      <c r="D318" s="79"/>
      <c r="P318" s="308"/>
    </row>
    <row r="319" spans="1:16" x14ac:dyDescent="0.3">
      <c r="A319" s="5"/>
      <c r="B319" s="528"/>
      <c r="C319" s="26"/>
      <c r="D319" s="79"/>
      <c r="P319" s="308"/>
    </row>
    <row r="320" spans="1:16" x14ac:dyDescent="0.3">
      <c r="D320" s="79"/>
      <c r="P320" s="308"/>
    </row>
    <row r="321" spans="1:16" x14ac:dyDescent="0.3">
      <c r="D321" s="79"/>
      <c r="P321" s="308"/>
    </row>
    <row r="322" spans="1:16" x14ac:dyDescent="0.3">
      <c r="D322" s="79"/>
      <c r="P322" s="308"/>
    </row>
    <row r="323" spans="1:16" x14ac:dyDescent="0.3">
      <c r="D323" s="79"/>
      <c r="P323" s="308"/>
    </row>
    <row r="324" spans="1:16" x14ac:dyDescent="0.3">
      <c r="A324" s="5"/>
      <c r="B324" s="528"/>
      <c r="C324" s="26"/>
      <c r="D324" s="79"/>
      <c r="P324" s="308"/>
    </row>
    <row r="325" spans="1:16" x14ac:dyDescent="0.3">
      <c r="A325" s="5"/>
      <c r="B325" s="528"/>
      <c r="C325" s="26"/>
      <c r="D325" s="79"/>
      <c r="P325" s="308"/>
    </row>
    <row r="326" spans="1:16" x14ac:dyDescent="0.3">
      <c r="A326" s="5"/>
      <c r="B326" s="528"/>
      <c r="C326" s="26"/>
      <c r="D326" s="79"/>
      <c r="P326" s="308"/>
    </row>
    <row r="327" spans="1:16" x14ac:dyDescent="0.3">
      <c r="A327" s="5"/>
      <c r="B327" s="528"/>
      <c r="C327" s="26"/>
      <c r="D327" s="79"/>
      <c r="P327" s="308"/>
    </row>
    <row r="328" spans="1:16" x14ac:dyDescent="0.3">
      <c r="D328" s="79"/>
      <c r="P328" s="308"/>
    </row>
    <row r="329" spans="1:16" x14ac:dyDescent="0.3">
      <c r="D329" s="79"/>
      <c r="P329" s="308"/>
    </row>
    <row r="330" spans="1:16" x14ac:dyDescent="0.3">
      <c r="D330" s="79"/>
      <c r="P330" s="308"/>
    </row>
    <row r="331" spans="1:16" x14ac:dyDescent="0.3">
      <c r="A331" s="5"/>
      <c r="B331" s="528"/>
      <c r="C331" s="26"/>
      <c r="D331" s="79"/>
      <c r="P331" s="308"/>
    </row>
    <row r="332" spans="1:16" x14ac:dyDescent="0.3">
      <c r="A332" s="5"/>
      <c r="B332" s="528"/>
      <c r="C332" s="26"/>
      <c r="D332" s="79"/>
      <c r="P332" s="308"/>
    </row>
    <row r="333" spans="1:16" x14ac:dyDescent="0.3">
      <c r="A333" s="5"/>
      <c r="B333" s="528"/>
      <c r="C333" s="26"/>
      <c r="D333" s="79"/>
      <c r="P333" s="308"/>
    </row>
    <row r="334" spans="1:16" x14ac:dyDescent="0.3">
      <c r="A334" s="5"/>
      <c r="B334" s="528"/>
      <c r="C334" s="26"/>
      <c r="D334" s="79"/>
      <c r="P334" s="308"/>
    </row>
    <row r="335" spans="1:16" x14ac:dyDescent="0.3">
      <c r="A335" s="5"/>
      <c r="B335" s="528"/>
      <c r="C335" s="26"/>
      <c r="D335" s="79"/>
      <c r="P335" s="308"/>
    </row>
    <row r="336" spans="1:16" x14ac:dyDescent="0.3">
      <c r="A336" s="5"/>
      <c r="B336" s="528"/>
      <c r="C336" s="26"/>
      <c r="D336" s="79"/>
      <c r="P336" s="308"/>
    </row>
    <row r="337" spans="1:16" x14ac:dyDescent="0.3">
      <c r="A337" s="5"/>
      <c r="B337" s="528"/>
      <c r="C337" s="26"/>
      <c r="D337" s="79"/>
      <c r="P337" s="308"/>
    </row>
    <row r="338" spans="1:16" x14ac:dyDescent="0.3">
      <c r="A338" s="5"/>
      <c r="B338" s="528"/>
      <c r="C338" s="26"/>
      <c r="D338" s="79"/>
      <c r="P338" s="308"/>
    </row>
    <row r="339" spans="1:16" x14ac:dyDescent="0.3">
      <c r="A339" s="5"/>
      <c r="B339" s="528"/>
      <c r="C339" s="26"/>
      <c r="D339" s="79"/>
      <c r="P339" s="308"/>
    </row>
    <row r="340" spans="1:16" x14ac:dyDescent="0.3">
      <c r="A340" s="5"/>
      <c r="B340" s="528"/>
      <c r="C340" s="26"/>
      <c r="D340" s="79"/>
      <c r="P340" s="308"/>
    </row>
    <row r="341" spans="1:16" x14ac:dyDescent="0.3">
      <c r="A341" s="5"/>
      <c r="B341" s="528"/>
      <c r="C341" s="26"/>
      <c r="D341" s="79"/>
      <c r="P341" s="308"/>
    </row>
    <row r="342" spans="1:16" x14ac:dyDescent="0.3">
      <c r="A342" s="5"/>
      <c r="B342" s="528"/>
      <c r="C342" s="26"/>
      <c r="D342" s="79"/>
      <c r="P342" s="308"/>
    </row>
    <row r="343" spans="1:16" x14ac:dyDescent="0.3">
      <c r="A343" s="5"/>
      <c r="B343" s="528"/>
      <c r="C343" s="26"/>
      <c r="D343" s="79"/>
      <c r="P343" s="308"/>
    </row>
    <row r="344" spans="1:16" x14ac:dyDescent="0.3">
      <c r="A344" s="5"/>
      <c r="B344" s="528"/>
      <c r="C344" s="26"/>
      <c r="D344" s="79"/>
      <c r="P344" s="308"/>
    </row>
    <row r="345" spans="1:16" x14ac:dyDescent="0.3">
      <c r="A345" s="5"/>
      <c r="B345" s="528"/>
      <c r="C345" s="26"/>
      <c r="D345" s="79"/>
      <c r="P345" s="308"/>
    </row>
    <row r="346" spans="1:16" x14ac:dyDescent="0.3">
      <c r="A346" s="5"/>
      <c r="B346" s="528"/>
      <c r="C346" s="26"/>
      <c r="D346" s="79"/>
      <c r="P346" s="308"/>
    </row>
    <row r="347" spans="1:16" x14ac:dyDescent="0.3">
      <c r="A347" s="5"/>
      <c r="B347" s="528"/>
      <c r="C347" s="26"/>
      <c r="D347" s="79"/>
      <c r="P347" s="308"/>
    </row>
    <row r="348" spans="1:16" x14ac:dyDescent="0.3">
      <c r="A348" s="5"/>
      <c r="B348" s="528"/>
      <c r="C348" s="26"/>
      <c r="D348" s="79"/>
      <c r="P348" s="308"/>
    </row>
    <row r="349" spans="1:16" x14ac:dyDescent="0.3">
      <c r="A349" s="5"/>
      <c r="B349" s="528"/>
      <c r="C349" s="26"/>
      <c r="D349" s="79"/>
      <c r="P349" s="308"/>
    </row>
    <row r="350" spans="1:16" x14ac:dyDescent="0.3">
      <c r="A350" s="5"/>
      <c r="B350" s="528"/>
      <c r="C350" s="26"/>
      <c r="D350" s="79"/>
      <c r="P350" s="308"/>
    </row>
    <row r="351" spans="1:16" x14ac:dyDescent="0.3">
      <c r="A351" s="5"/>
      <c r="B351" s="528"/>
      <c r="C351" s="26"/>
      <c r="D351" s="79"/>
      <c r="P351" s="308"/>
    </row>
    <row r="352" spans="1:16" x14ac:dyDescent="0.3">
      <c r="A352" s="5"/>
      <c r="B352" s="528"/>
      <c r="C352" s="26"/>
      <c r="D352" s="79"/>
      <c r="P352" s="308"/>
    </row>
    <row r="353" spans="1:16" x14ac:dyDescent="0.3">
      <c r="A353" s="5"/>
      <c r="B353" s="528"/>
      <c r="C353" s="26"/>
      <c r="D353" s="79"/>
      <c r="P353" s="308"/>
    </row>
    <row r="354" spans="1:16" x14ac:dyDescent="0.3">
      <c r="A354" s="5"/>
      <c r="B354" s="528"/>
      <c r="C354" s="26"/>
      <c r="D354" s="79"/>
      <c r="P354" s="308"/>
    </row>
    <row r="355" spans="1:16" x14ac:dyDescent="0.3">
      <c r="A355" s="5"/>
      <c r="B355" s="528"/>
      <c r="C355" s="26"/>
      <c r="D355" s="79"/>
      <c r="P355" s="308"/>
    </row>
    <row r="356" spans="1:16" x14ac:dyDescent="0.3">
      <c r="A356" s="5"/>
      <c r="B356" s="528"/>
      <c r="C356" s="26"/>
      <c r="D356" s="79"/>
      <c r="P356" s="308"/>
    </row>
    <row r="357" spans="1:16" x14ac:dyDescent="0.3">
      <c r="A357" s="5"/>
      <c r="B357" s="528"/>
      <c r="C357" s="26"/>
      <c r="D357" s="79"/>
      <c r="P357" s="308"/>
    </row>
    <row r="358" spans="1:16" x14ac:dyDescent="0.3">
      <c r="A358" s="5"/>
      <c r="B358" s="528"/>
      <c r="C358" s="26"/>
      <c r="D358" s="79"/>
      <c r="P358" s="308"/>
    </row>
    <row r="359" spans="1:16" x14ac:dyDescent="0.3">
      <c r="A359" s="5"/>
      <c r="B359" s="528"/>
      <c r="C359" s="26"/>
      <c r="D359" s="79"/>
      <c r="P359" s="308"/>
    </row>
    <row r="360" spans="1:16" x14ac:dyDescent="0.3">
      <c r="A360" s="5"/>
      <c r="B360" s="528"/>
      <c r="C360" s="26"/>
      <c r="D360" s="79"/>
      <c r="P360" s="308"/>
    </row>
    <row r="361" spans="1:16" x14ac:dyDescent="0.3">
      <c r="A361" s="5"/>
      <c r="B361" s="528"/>
      <c r="C361" s="26"/>
      <c r="D361" s="79"/>
      <c r="P361" s="308"/>
    </row>
    <row r="362" spans="1:16" x14ac:dyDescent="0.3">
      <c r="A362" s="5"/>
      <c r="B362" s="528"/>
      <c r="C362" s="26"/>
      <c r="D362" s="79"/>
      <c r="P362" s="308"/>
    </row>
    <row r="363" spans="1:16" x14ac:dyDescent="0.3">
      <c r="A363" s="5"/>
      <c r="B363" s="528"/>
      <c r="C363" s="26"/>
      <c r="D363" s="79"/>
      <c r="P363" s="308"/>
    </row>
    <row r="364" spans="1:16" x14ac:dyDescent="0.3">
      <c r="A364" s="5"/>
      <c r="B364" s="528"/>
      <c r="C364" s="26"/>
      <c r="D364" s="79"/>
      <c r="P364" s="308"/>
    </row>
    <row r="365" spans="1:16" x14ac:dyDescent="0.3">
      <c r="A365" s="5"/>
      <c r="B365" s="528"/>
      <c r="C365" s="26"/>
      <c r="D365" s="79"/>
      <c r="P365" s="308"/>
    </row>
    <row r="366" spans="1:16" x14ac:dyDescent="0.3">
      <c r="A366" s="5"/>
      <c r="B366" s="528"/>
      <c r="C366" s="26"/>
      <c r="D366" s="79"/>
      <c r="P366" s="308"/>
    </row>
    <row r="367" spans="1:16" x14ac:dyDescent="0.3">
      <c r="A367" s="5"/>
      <c r="B367" s="528"/>
      <c r="C367" s="26"/>
      <c r="D367" s="79"/>
      <c r="P367" s="308"/>
    </row>
    <row r="368" spans="1:16" x14ac:dyDescent="0.3">
      <c r="A368" s="5"/>
      <c r="B368" s="528"/>
      <c r="C368" s="26"/>
      <c r="D368" s="79"/>
      <c r="P368" s="308"/>
    </row>
    <row r="369" spans="1:16" x14ac:dyDescent="0.3">
      <c r="A369" s="5"/>
      <c r="B369" s="528"/>
      <c r="C369" s="26"/>
      <c r="D369" s="79"/>
      <c r="P369" s="308"/>
    </row>
    <row r="370" spans="1:16" x14ac:dyDescent="0.3">
      <c r="A370" s="5"/>
      <c r="B370" s="528"/>
      <c r="C370" s="26"/>
      <c r="D370" s="79"/>
      <c r="P370" s="308"/>
    </row>
    <row r="371" spans="1:16" x14ac:dyDescent="0.3">
      <c r="A371" s="5"/>
      <c r="B371" s="528"/>
      <c r="C371" s="26"/>
      <c r="D371" s="79"/>
      <c r="P371" s="308"/>
    </row>
    <row r="372" spans="1:16" x14ac:dyDescent="0.3">
      <c r="A372" s="5"/>
      <c r="B372" s="528"/>
      <c r="C372" s="26"/>
      <c r="D372" s="79"/>
      <c r="P372" s="308"/>
    </row>
    <row r="373" spans="1:16" x14ac:dyDescent="0.3">
      <c r="A373" s="5"/>
      <c r="B373" s="528"/>
      <c r="C373" s="26"/>
      <c r="D373" s="79"/>
      <c r="P373" s="308"/>
    </row>
    <row r="374" spans="1:16" x14ac:dyDescent="0.3">
      <c r="A374" s="5"/>
      <c r="B374" s="528"/>
      <c r="C374" s="26"/>
      <c r="D374" s="79"/>
      <c r="P374" s="308"/>
    </row>
    <row r="375" spans="1:16" x14ac:dyDescent="0.3">
      <c r="A375" s="5"/>
      <c r="B375" s="528"/>
      <c r="C375" s="26"/>
      <c r="D375" s="79"/>
      <c r="P375" s="308"/>
    </row>
    <row r="376" spans="1:16" x14ac:dyDescent="0.3">
      <c r="A376" s="5"/>
      <c r="B376" s="528"/>
      <c r="C376" s="26"/>
      <c r="D376" s="79"/>
      <c r="P376" s="308"/>
    </row>
    <row r="377" spans="1:16" x14ac:dyDescent="0.3">
      <c r="A377" s="5"/>
      <c r="B377" s="528"/>
      <c r="C377" s="26"/>
      <c r="D377" s="79"/>
      <c r="P377" s="308"/>
    </row>
    <row r="378" spans="1:16" x14ac:dyDescent="0.3">
      <c r="A378" s="5"/>
      <c r="B378" s="528"/>
      <c r="C378" s="26"/>
      <c r="D378" s="79"/>
      <c r="P378" s="308"/>
    </row>
    <row r="379" spans="1:16" x14ac:dyDescent="0.3">
      <c r="A379" s="5"/>
      <c r="B379" s="528"/>
      <c r="C379" s="26"/>
      <c r="D379" s="79"/>
      <c r="P379" s="308"/>
    </row>
    <row r="380" spans="1:16" x14ac:dyDescent="0.3">
      <c r="A380" s="5"/>
      <c r="B380" s="528"/>
      <c r="C380" s="26"/>
      <c r="D380" s="79"/>
      <c r="P380" s="308"/>
    </row>
    <row r="381" spans="1:16" x14ac:dyDescent="0.3">
      <c r="A381" s="5"/>
      <c r="B381" s="528"/>
      <c r="C381" s="26"/>
      <c r="D381" s="79"/>
      <c r="P381" s="308"/>
    </row>
    <row r="382" spans="1:16" x14ac:dyDescent="0.3">
      <c r="A382" s="5"/>
      <c r="B382" s="528"/>
      <c r="C382" s="26"/>
      <c r="D382" s="79"/>
      <c r="P382" s="308"/>
    </row>
    <row r="383" spans="1:16" x14ac:dyDescent="0.3">
      <c r="A383" s="5"/>
      <c r="B383" s="528"/>
      <c r="C383" s="26"/>
      <c r="D383" s="79"/>
      <c r="P383" s="308"/>
    </row>
    <row r="384" spans="1:16" x14ac:dyDescent="0.3">
      <c r="A384" s="5"/>
      <c r="B384" s="528"/>
      <c r="C384" s="26"/>
      <c r="D384" s="79"/>
      <c r="P384" s="308"/>
    </row>
    <row r="385" spans="1:16" x14ac:dyDescent="0.3">
      <c r="A385" s="5"/>
      <c r="B385" s="528"/>
      <c r="C385" s="26"/>
      <c r="D385" s="79"/>
      <c r="P385" s="308"/>
    </row>
    <row r="386" spans="1:16" x14ac:dyDescent="0.3">
      <c r="A386" s="5"/>
      <c r="B386" s="528"/>
      <c r="C386" s="26"/>
      <c r="D386" s="79"/>
      <c r="P386" s="308"/>
    </row>
    <row r="387" spans="1:16" x14ac:dyDescent="0.3">
      <c r="A387" s="5"/>
      <c r="B387" s="528"/>
      <c r="C387" s="26"/>
      <c r="D387" s="79"/>
      <c r="P387" s="308"/>
    </row>
    <row r="388" spans="1:16" x14ac:dyDescent="0.3">
      <c r="A388" s="5"/>
      <c r="B388" s="528"/>
      <c r="C388" s="26"/>
      <c r="D388" s="79"/>
      <c r="P388" s="308"/>
    </row>
    <row r="389" spans="1:16" x14ac:dyDescent="0.3">
      <c r="A389" s="5"/>
      <c r="B389" s="528"/>
      <c r="C389" s="26"/>
      <c r="D389" s="79"/>
      <c r="P389" s="308"/>
    </row>
    <row r="390" spans="1:16" x14ac:dyDescent="0.3">
      <c r="A390" s="5"/>
      <c r="B390" s="528"/>
      <c r="C390" s="26"/>
      <c r="D390" s="79"/>
      <c r="P390" s="308"/>
    </row>
    <row r="391" spans="1:16" x14ac:dyDescent="0.3">
      <c r="A391" s="5"/>
      <c r="B391" s="528"/>
      <c r="C391" s="26"/>
      <c r="D391" s="79"/>
      <c r="P391" s="308"/>
    </row>
    <row r="392" spans="1:16" x14ac:dyDescent="0.3">
      <c r="A392" s="5"/>
      <c r="B392" s="528"/>
      <c r="C392" s="26"/>
      <c r="D392" s="79"/>
      <c r="P392" s="308"/>
    </row>
    <row r="393" spans="1:16" x14ac:dyDescent="0.3">
      <c r="A393" s="5"/>
      <c r="B393" s="528"/>
      <c r="C393" s="26"/>
      <c r="D393" s="79"/>
      <c r="P393" s="308"/>
    </row>
    <row r="394" spans="1:16" x14ac:dyDescent="0.3">
      <c r="A394" s="5"/>
      <c r="B394" s="528"/>
      <c r="C394" s="26"/>
      <c r="D394" s="79"/>
      <c r="P394" s="308"/>
    </row>
    <row r="395" spans="1:16" x14ac:dyDescent="0.3">
      <c r="A395" s="5"/>
      <c r="B395" s="528"/>
      <c r="C395" s="26"/>
      <c r="D395" s="79"/>
      <c r="P395" s="308"/>
    </row>
    <row r="396" spans="1:16" x14ac:dyDescent="0.3">
      <c r="A396" s="5"/>
      <c r="B396" s="528"/>
      <c r="C396" s="26"/>
      <c r="D396" s="79"/>
      <c r="P396" s="308"/>
    </row>
    <row r="397" spans="1:16" x14ac:dyDescent="0.3">
      <c r="A397" s="5"/>
      <c r="B397" s="528"/>
      <c r="C397" s="26"/>
      <c r="D397" s="79"/>
      <c r="P397" s="308"/>
    </row>
    <row r="398" spans="1:16" x14ac:dyDescent="0.3">
      <c r="A398" s="5"/>
      <c r="B398" s="528"/>
      <c r="C398" s="26"/>
      <c r="D398" s="79"/>
      <c r="P398" s="308"/>
    </row>
    <row r="399" spans="1:16" x14ac:dyDescent="0.3">
      <c r="A399" s="5"/>
      <c r="B399" s="528"/>
      <c r="C399" s="26"/>
      <c r="D399" s="79"/>
      <c r="P399" s="308"/>
    </row>
    <row r="400" spans="1:16" x14ac:dyDescent="0.3">
      <c r="A400" s="5"/>
      <c r="B400" s="528"/>
      <c r="C400" s="26"/>
      <c r="D400" s="79"/>
      <c r="P400" s="308"/>
    </row>
    <row r="401" spans="1:16" x14ac:dyDescent="0.3">
      <c r="A401" s="5"/>
      <c r="B401" s="528"/>
      <c r="C401" s="26"/>
      <c r="D401" s="79"/>
      <c r="P401" s="308"/>
    </row>
    <row r="402" spans="1:16" x14ac:dyDescent="0.3">
      <c r="A402" s="5"/>
      <c r="B402" s="528"/>
      <c r="C402" s="26"/>
      <c r="D402" s="79"/>
      <c r="P402" s="308"/>
    </row>
    <row r="403" spans="1:16" x14ac:dyDescent="0.3">
      <c r="A403" s="5"/>
      <c r="B403" s="528"/>
      <c r="C403" s="26"/>
      <c r="D403" s="79"/>
      <c r="P403" s="308"/>
    </row>
    <row r="404" spans="1:16" x14ac:dyDescent="0.3">
      <c r="A404" s="5"/>
      <c r="B404" s="528"/>
      <c r="C404" s="26"/>
      <c r="D404" s="79"/>
      <c r="P404" s="308"/>
    </row>
    <row r="405" spans="1:16" x14ac:dyDescent="0.3">
      <c r="A405" s="5"/>
      <c r="B405" s="528"/>
      <c r="C405" s="26"/>
      <c r="D405" s="79"/>
      <c r="P405" s="308"/>
    </row>
    <row r="406" spans="1:16" x14ac:dyDescent="0.3">
      <c r="A406" s="5"/>
      <c r="B406" s="528"/>
      <c r="C406" s="26"/>
      <c r="D406" s="79"/>
      <c r="P406" s="308"/>
    </row>
    <row r="407" spans="1:16" x14ac:dyDescent="0.3">
      <c r="A407" s="5"/>
      <c r="B407" s="528"/>
      <c r="C407" s="26"/>
      <c r="D407" s="79"/>
      <c r="P407" s="308"/>
    </row>
    <row r="408" spans="1:16" x14ac:dyDescent="0.3">
      <c r="A408" s="5"/>
      <c r="B408" s="528"/>
      <c r="C408" s="26"/>
      <c r="D408" s="79"/>
      <c r="P408" s="308"/>
    </row>
    <row r="409" spans="1:16" x14ac:dyDescent="0.3">
      <c r="A409" s="5"/>
      <c r="B409" s="528"/>
      <c r="C409" s="26"/>
      <c r="D409" s="79"/>
      <c r="P409" s="308"/>
    </row>
    <row r="410" spans="1:16" x14ac:dyDescent="0.3">
      <c r="A410" s="5"/>
      <c r="B410" s="528"/>
      <c r="C410" s="26"/>
      <c r="D410" s="79"/>
      <c r="P410" s="308"/>
    </row>
    <row r="411" spans="1:16" x14ac:dyDescent="0.3">
      <c r="A411" s="5"/>
      <c r="B411" s="528"/>
      <c r="C411" s="26"/>
      <c r="D411" s="79"/>
      <c r="P411" s="308"/>
    </row>
    <row r="412" spans="1:16" x14ac:dyDescent="0.3">
      <c r="A412" s="5"/>
      <c r="B412" s="528"/>
      <c r="C412" s="26"/>
      <c r="D412" s="79"/>
      <c r="P412" s="308"/>
    </row>
    <row r="413" spans="1:16" x14ac:dyDescent="0.3">
      <c r="A413" s="5"/>
      <c r="B413" s="528"/>
      <c r="C413" s="26"/>
      <c r="D413" s="79"/>
      <c r="P413" s="308"/>
    </row>
    <row r="414" spans="1:16" x14ac:dyDescent="0.3">
      <c r="A414" s="5"/>
      <c r="B414" s="528"/>
      <c r="C414" s="26"/>
      <c r="D414" s="79"/>
      <c r="P414" s="308"/>
    </row>
    <row r="415" spans="1:16" x14ac:dyDescent="0.3">
      <c r="A415" s="5"/>
      <c r="B415" s="528"/>
      <c r="C415" s="26"/>
      <c r="D415" s="79"/>
      <c r="P415" s="308"/>
    </row>
    <row r="416" spans="1:16" x14ac:dyDescent="0.3">
      <c r="A416" s="5"/>
      <c r="B416" s="528"/>
      <c r="C416" s="26"/>
      <c r="D416" s="79"/>
      <c r="P416" s="308"/>
    </row>
    <row r="417" spans="1:16" x14ac:dyDescent="0.3">
      <c r="A417" s="5"/>
      <c r="B417" s="528"/>
      <c r="C417" s="26"/>
      <c r="D417" s="79"/>
      <c r="P417" s="308"/>
    </row>
    <row r="418" spans="1:16" x14ac:dyDescent="0.3">
      <c r="A418" s="5"/>
      <c r="B418" s="528"/>
      <c r="C418" s="26"/>
      <c r="D418" s="79"/>
      <c r="P418" s="308"/>
    </row>
    <row r="419" spans="1:16" x14ac:dyDescent="0.3">
      <c r="A419" s="5"/>
      <c r="B419" s="528"/>
      <c r="C419" s="26"/>
      <c r="D419" s="79"/>
      <c r="P419" s="308"/>
    </row>
    <row r="420" spans="1:16" x14ac:dyDescent="0.3">
      <c r="A420" s="5"/>
      <c r="B420" s="528"/>
      <c r="C420" s="26"/>
      <c r="D420" s="79"/>
      <c r="P420" s="308"/>
    </row>
    <row r="421" spans="1:16" x14ac:dyDescent="0.3">
      <c r="A421" s="5"/>
      <c r="B421" s="528"/>
      <c r="C421" s="26"/>
      <c r="D421" s="79"/>
      <c r="P421" s="308"/>
    </row>
    <row r="422" spans="1:16" x14ac:dyDescent="0.3">
      <c r="A422" s="5"/>
      <c r="B422" s="528"/>
      <c r="C422" s="26"/>
      <c r="D422" s="79"/>
      <c r="P422" s="308"/>
    </row>
    <row r="423" spans="1:16" x14ac:dyDescent="0.3">
      <c r="A423" s="5"/>
      <c r="B423" s="528"/>
      <c r="C423" s="26"/>
      <c r="D423" s="79"/>
      <c r="P423" s="308"/>
    </row>
    <row r="424" spans="1:16" x14ac:dyDescent="0.3">
      <c r="A424" s="5"/>
      <c r="B424" s="528"/>
      <c r="C424" s="26"/>
      <c r="D424" s="79"/>
      <c r="P424" s="308"/>
    </row>
    <row r="425" spans="1:16" x14ac:dyDescent="0.3">
      <c r="A425" s="5"/>
      <c r="B425" s="528"/>
      <c r="C425" s="26"/>
      <c r="D425" s="79"/>
      <c r="P425" s="308"/>
    </row>
    <row r="426" spans="1:16" x14ac:dyDescent="0.3">
      <c r="A426" s="5"/>
      <c r="B426" s="528"/>
      <c r="C426" s="26"/>
      <c r="D426" s="79"/>
      <c r="P426" s="308"/>
    </row>
    <row r="427" spans="1:16" x14ac:dyDescent="0.3">
      <c r="A427" s="5"/>
      <c r="B427" s="528"/>
      <c r="C427" s="26"/>
      <c r="D427" s="79"/>
      <c r="P427" s="308"/>
    </row>
    <row r="428" spans="1:16" x14ac:dyDescent="0.3">
      <c r="A428" s="5"/>
      <c r="B428" s="528"/>
      <c r="C428" s="26"/>
      <c r="D428" s="79"/>
      <c r="P428" s="308"/>
    </row>
    <row r="429" spans="1:16" x14ac:dyDescent="0.3">
      <c r="A429" s="5"/>
      <c r="B429" s="528"/>
      <c r="C429" s="26"/>
      <c r="D429" s="79"/>
    </row>
    <row r="430" spans="1:16" x14ac:dyDescent="0.3">
      <c r="A430" s="5"/>
      <c r="B430" s="528"/>
      <c r="C430" s="26"/>
      <c r="D430" s="79"/>
      <c r="P430" s="308"/>
    </row>
    <row r="431" spans="1:16" x14ac:dyDescent="0.3">
      <c r="A431" s="5"/>
      <c r="B431" s="528"/>
      <c r="C431" s="26"/>
      <c r="D431" s="79"/>
    </row>
    <row r="432" spans="1:16" x14ac:dyDescent="0.3">
      <c r="A432" s="5"/>
      <c r="B432" s="528"/>
      <c r="C432" s="26"/>
      <c r="D432" s="79"/>
    </row>
    <row r="433" spans="1:4" x14ac:dyDescent="0.3">
      <c r="A433" s="5"/>
      <c r="B433" s="528"/>
      <c r="C433" s="26"/>
      <c r="D433" s="79"/>
    </row>
    <row r="434" spans="1:4" x14ac:dyDescent="0.3">
      <c r="A434" s="5"/>
      <c r="B434" s="528"/>
      <c r="C434" s="26"/>
      <c r="D434" s="79"/>
    </row>
    <row r="435" spans="1:4" x14ac:dyDescent="0.3">
      <c r="A435" s="5"/>
      <c r="B435" s="528"/>
      <c r="C435" s="26"/>
      <c r="D435" s="79"/>
    </row>
    <row r="436" spans="1:4" x14ac:dyDescent="0.3">
      <c r="A436" s="5"/>
      <c r="B436" s="528"/>
      <c r="C436" s="26"/>
      <c r="D436" s="79"/>
    </row>
    <row r="437" spans="1:4" x14ac:dyDescent="0.3">
      <c r="A437" s="5"/>
      <c r="B437" s="528"/>
      <c r="C437" s="26"/>
      <c r="D437" s="79"/>
    </row>
    <row r="438" spans="1:4" x14ac:dyDescent="0.3">
      <c r="A438" s="5"/>
      <c r="B438" s="528"/>
      <c r="C438" s="26"/>
      <c r="D438" s="79"/>
    </row>
    <row r="439" spans="1:4" x14ac:dyDescent="0.3">
      <c r="A439" s="5"/>
      <c r="B439" s="528"/>
      <c r="C439" s="26"/>
      <c r="D439" s="79"/>
    </row>
    <row r="440" spans="1:4" x14ac:dyDescent="0.3">
      <c r="A440" s="5"/>
      <c r="B440" s="528"/>
      <c r="C440" s="26"/>
      <c r="D440" s="79"/>
    </row>
    <row r="441" spans="1:4" x14ac:dyDescent="0.3">
      <c r="A441" s="5"/>
      <c r="B441" s="528"/>
      <c r="C441" s="26"/>
      <c r="D441" s="79"/>
    </row>
    <row r="442" spans="1:4" x14ac:dyDescent="0.3">
      <c r="A442" s="5"/>
      <c r="B442" s="528"/>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61" priority="93" stopIfTrue="1" operator="notEqual">
      <formula>0</formula>
    </cfRule>
  </conditionalFormatting>
  <conditionalFormatting sqref="G34">
    <cfRule type="cellIs" dxfId="60" priority="92" stopIfTrue="1" operator="notEqual">
      <formula>0</formula>
    </cfRule>
  </conditionalFormatting>
  <conditionalFormatting sqref="G65">
    <cfRule type="cellIs" dxfId="59" priority="91" stopIfTrue="1" operator="notEqual">
      <formula>0</formula>
    </cfRule>
  </conditionalFormatting>
  <conditionalFormatting sqref="G79">
    <cfRule type="cellIs" dxfId="58" priority="90" stopIfTrue="1" operator="notEqual">
      <formula>0</formula>
    </cfRule>
  </conditionalFormatting>
  <conditionalFormatting sqref="G80:G90">
    <cfRule type="cellIs" dxfId="57" priority="89" stopIfTrue="1" operator="notEqual">
      <formula>0</formula>
    </cfRule>
  </conditionalFormatting>
  <conditionalFormatting sqref="G133">
    <cfRule type="cellIs" dxfId="56" priority="88" stopIfTrue="1" operator="notEqual">
      <formula>0</formula>
    </cfRule>
  </conditionalFormatting>
  <conditionalFormatting sqref="G151">
    <cfRule type="cellIs" dxfId="55" priority="87" stopIfTrue="1" operator="notEqual">
      <formula>0</formula>
    </cfRule>
  </conditionalFormatting>
  <conditionalFormatting sqref="G163">
    <cfRule type="cellIs" dxfId="54" priority="86" stopIfTrue="1" operator="notEqual">
      <formula>0</formula>
    </cfRule>
  </conditionalFormatting>
  <conditionalFormatting sqref="G164">
    <cfRule type="cellIs" dxfId="53" priority="85" stopIfTrue="1" operator="notEqual">
      <formula>0</formula>
    </cfRule>
  </conditionalFormatting>
  <conditionalFormatting sqref="G178">
    <cfRule type="cellIs" dxfId="52" priority="84" stopIfTrue="1" operator="notEqual">
      <formula>0</formula>
    </cfRule>
  </conditionalFormatting>
  <conditionalFormatting sqref="G179">
    <cfRule type="cellIs" dxfId="51" priority="83" stopIfTrue="1" operator="notEqual">
      <formula>0</formula>
    </cfRule>
  </conditionalFormatting>
  <conditionalFormatting sqref="H237:H239">
    <cfRule type="cellIs" priority="79" stopIfTrue="1" operator="equal">
      <formula>";;;"</formula>
    </cfRule>
  </conditionalFormatting>
  <conditionalFormatting sqref="H237">
    <cfRule type="cellIs" dxfId="50" priority="78" stopIfTrue="1" operator="equal">
      <formula>0</formula>
    </cfRule>
  </conditionalFormatting>
  <conditionalFormatting sqref="H238">
    <cfRule type="cellIs" dxfId="49" priority="77" stopIfTrue="1" operator="equal">
      <formula>0</formula>
    </cfRule>
  </conditionalFormatting>
  <conditionalFormatting sqref="H239">
    <cfRule type="cellIs" dxfId="48" priority="76" stopIfTrue="1" operator="equal">
      <formula>0</formula>
    </cfRule>
  </conditionalFormatting>
  <conditionalFormatting sqref="H239">
    <cfRule type="cellIs" dxfId="47" priority="75" stopIfTrue="1" operator="equal">
      <formula>0</formula>
    </cfRule>
  </conditionalFormatting>
  <conditionalFormatting sqref="H237">
    <cfRule type="cellIs" dxfId="46" priority="74" stopIfTrue="1" operator="equal">
      <formula>0</formula>
    </cfRule>
  </conditionalFormatting>
  <conditionalFormatting sqref="G21">
    <cfRule type="cellIs" dxfId="45" priority="73" stopIfTrue="1" operator="notEqual">
      <formula>0</formula>
    </cfRule>
  </conditionalFormatting>
  <conditionalFormatting sqref="G7">
    <cfRule type="containsText" dxfId="44" priority="71" stopIfTrue="1" operator="containsText" text="Included in error count">
      <formula>NOT(ISERROR(SEARCH("Included in error count",G7)))</formula>
    </cfRule>
    <cfRule type="cellIs" dxfId="43" priority="72" stopIfTrue="1" operator="equal">
      <formula>1</formula>
    </cfRule>
  </conditionalFormatting>
  <conditionalFormatting sqref="G55">
    <cfRule type="containsText" dxfId="42" priority="69" stopIfTrue="1" operator="containsText" text="Included in error count">
      <formula>NOT(ISERROR(SEARCH("Included in error count",G55)))</formula>
    </cfRule>
    <cfRule type="cellIs" dxfId="41" priority="70" stopIfTrue="1" operator="equal">
      <formula>1</formula>
    </cfRule>
  </conditionalFormatting>
  <conditionalFormatting sqref="G120:G121">
    <cfRule type="containsText" dxfId="40" priority="67" stopIfTrue="1" operator="containsText" text="Included in error count">
      <formula>NOT(ISERROR(SEARCH("Included in error count",G120)))</formula>
    </cfRule>
    <cfRule type="cellIs" dxfId="39" priority="68" stopIfTrue="1" operator="equal">
      <formula>1</formula>
    </cfRule>
  </conditionalFormatting>
  <conditionalFormatting sqref="G122">
    <cfRule type="containsText" dxfId="38" priority="65" stopIfTrue="1" operator="containsText" text="Included in error count">
      <formula>NOT(ISERROR(SEARCH("Included in error count",G122)))</formula>
    </cfRule>
    <cfRule type="cellIs" dxfId="37" priority="66" stopIfTrue="1" operator="equal">
      <formula>1</formula>
    </cfRule>
  </conditionalFormatting>
  <conditionalFormatting sqref="G131">
    <cfRule type="containsText" dxfId="36" priority="61" stopIfTrue="1" operator="containsText" text="Included in error count">
      <formula>NOT(ISERROR(SEARCH("Included in error count",G131)))</formula>
    </cfRule>
    <cfRule type="cellIs" dxfId="35" priority="62" stopIfTrue="1" operator="equal">
      <formula>1</formula>
    </cfRule>
  </conditionalFormatting>
  <conditionalFormatting sqref="G153">
    <cfRule type="containsText" dxfId="34" priority="57" stopIfTrue="1" operator="containsText" text="Included in error count">
      <formula>NOT(ISERROR(SEARCH("Included in error count",G153)))</formula>
    </cfRule>
    <cfRule type="cellIs" dxfId="33" priority="58" stopIfTrue="1" operator="equal">
      <formula>1</formula>
    </cfRule>
  </conditionalFormatting>
  <conditionalFormatting sqref="G237">
    <cfRule type="containsText" dxfId="32" priority="46" stopIfTrue="1" operator="containsText" text="Included in error count">
      <formula>NOT(ISERROR(SEARCH("Included in error count",G237)))</formula>
    </cfRule>
    <cfRule type="cellIs" dxfId="31" priority="47" stopIfTrue="1" operator="equal">
      <formula>1</formula>
    </cfRule>
  </conditionalFormatting>
  <conditionalFormatting sqref="G238">
    <cfRule type="containsText" dxfId="30" priority="44" stopIfTrue="1" operator="containsText" text="Included in error count">
      <formula>NOT(ISERROR(SEARCH("Included in error count",G238)))</formula>
    </cfRule>
    <cfRule type="cellIs" dxfId="29" priority="45" stopIfTrue="1" operator="equal">
      <formula>1</formula>
    </cfRule>
  </conditionalFormatting>
  <conditionalFormatting sqref="G239">
    <cfRule type="containsText" dxfId="28" priority="42" stopIfTrue="1" operator="containsText" text="Included in error count">
      <formula>NOT(ISERROR(SEARCH("Included in error count",G239)))</formula>
    </cfRule>
    <cfRule type="cellIs" dxfId="27" priority="43" stopIfTrue="1" operator="equal">
      <formula>1</formula>
    </cfRule>
  </conditionalFormatting>
  <conditionalFormatting sqref="G168">
    <cfRule type="containsText" dxfId="26" priority="40" stopIfTrue="1" operator="containsText" text="Included in error count">
      <formula>NOT(ISERROR(SEARCH("Included in error count",G168)))</formula>
    </cfRule>
    <cfRule type="cellIs" dxfId="25"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65"/>
  <sheetViews>
    <sheetView showGridLines="0" zoomScale="70" zoomScaleNormal="70" workbookViewId="0">
      <selection activeCell="H84" sqref="H84"/>
    </sheetView>
  </sheetViews>
  <sheetFormatPr defaultColWidth="9.109375" defaultRowHeight="14.4" x14ac:dyDescent="0.3"/>
  <cols>
    <col min="1" max="1" width="44.5546875" style="759" customWidth="1"/>
    <col min="2" max="2" width="17.109375" style="759" customWidth="1"/>
    <col min="3" max="3" width="19" style="759" customWidth="1"/>
    <col min="4" max="4" width="19.109375" style="759" customWidth="1"/>
    <col min="5" max="5" width="15.109375" style="759" customWidth="1"/>
    <col min="6" max="6" width="12.88671875" style="759" customWidth="1"/>
    <col min="7" max="7" width="43.88671875" style="848" hidden="1" customWidth="1"/>
    <col min="8" max="8" width="77.5546875" style="759" customWidth="1"/>
    <col min="9" max="9" width="70.44140625" style="760" customWidth="1"/>
    <col min="10" max="10" width="46.109375" style="760" customWidth="1"/>
    <col min="11" max="11" width="9.109375" style="760" customWidth="1"/>
    <col min="12" max="12" width="36.88671875" style="268" customWidth="1"/>
    <col min="13" max="14" width="15.6640625" style="268" customWidth="1"/>
    <col min="15" max="15" width="56.33203125" style="268" customWidth="1"/>
    <col min="16" max="16" width="11.109375" style="758" customWidth="1"/>
    <col min="17" max="18" width="9.109375" style="759" customWidth="1"/>
    <col min="19" max="16384" width="9.109375" style="759"/>
  </cols>
  <sheetData>
    <row r="1" spans="1:78" ht="40.5" customHeight="1" x14ac:dyDescent="0.3">
      <c r="A1" s="1131"/>
      <c r="B1" s="1131"/>
      <c r="C1" s="1131"/>
      <c r="D1" s="1131"/>
      <c r="E1" s="1131"/>
      <c r="F1" s="1131"/>
      <c r="G1" s="1131"/>
      <c r="H1" s="1131"/>
      <c r="I1" s="1131"/>
      <c r="J1" s="1131"/>
      <c r="K1" s="835"/>
    </row>
    <row r="2" spans="1:78" ht="72" hidden="1" customHeight="1" x14ac:dyDescent="0.3">
      <c r="A2" s="1132" t="s">
        <v>1001</v>
      </c>
      <c r="B2" s="1133"/>
      <c r="C2" s="1133"/>
      <c r="D2" s="1133"/>
      <c r="E2" s="1133"/>
      <c r="F2" s="1133"/>
      <c r="G2" s="1133"/>
      <c r="H2" s="1133"/>
      <c r="I2" s="1170" t="s">
        <v>1037</v>
      </c>
      <c r="J2" s="1172" t="s">
        <v>793</v>
      </c>
      <c r="K2" s="863"/>
    </row>
    <row r="3" spans="1:78" ht="15" hidden="1" customHeight="1" x14ac:dyDescent="0.3">
      <c r="A3" s="417" t="s">
        <v>610</v>
      </c>
      <c r="B3" s="761"/>
      <c r="C3" s="761"/>
      <c r="D3" s="761"/>
      <c r="E3" s="762"/>
      <c r="F3" s="762"/>
      <c r="G3" s="1134"/>
      <c r="H3" s="1135"/>
      <c r="I3" s="1170"/>
      <c r="J3" s="1172"/>
      <c r="K3" s="863"/>
    </row>
    <row r="4" spans="1:78" ht="21.75" hidden="1" customHeight="1" x14ac:dyDescent="0.3">
      <c r="A4" s="763" t="s">
        <v>681</v>
      </c>
      <c r="B4" s="1136" t="str">
        <f>'Unit Data from Audit Worksheet'!D2</f>
        <v>Select Unit Name from Drop Down List</v>
      </c>
      <c r="C4" s="1136"/>
      <c r="D4" s="1136"/>
      <c r="E4" s="1137" t="s">
        <v>1002</v>
      </c>
      <c r="F4" s="1138"/>
      <c r="G4" s="764"/>
      <c r="H4" s="1139" t="s">
        <v>612</v>
      </c>
      <c r="I4" s="1170"/>
      <c r="J4" s="1172"/>
      <c r="K4" s="864"/>
      <c r="L4" s="765"/>
    </row>
    <row r="5" spans="1:78" ht="21.6" hidden="1" thickBot="1" x14ac:dyDescent="0.35">
      <c r="A5" s="766" t="s">
        <v>611</v>
      </c>
      <c r="B5" s="1140" t="e">
        <f>'Unit Data from Audit Worksheet'!D3</f>
        <v>#N/A</v>
      </c>
      <c r="C5" s="1140"/>
      <c r="D5" s="1140"/>
      <c r="E5" s="1137"/>
      <c r="F5" s="1138"/>
      <c r="G5" s="767"/>
      <c r="H5" s="1137"/>
      <c r="I5" s="1171"/>
      <c r="J5" s="1173"/>
      <c r="K5" s="757"/>
      <c r="L5" s="170" t="s">
        <v>645</v>
      </c>
    </row>
    <row r="6" spans="1:78" ht="185.1" hidden="1" customHeight="1" thickBot="1" x14ac:dyDescent="0.35">
      <c r="A6" s="1144"/>
      <c r="B6" s="1145"/>
      <c r="C6" s="1145"/>
      <c r="D6" s="1145"/>
      <c r="E6" s="1145"/>
      <c r="F6" s="1146"/>
      <c r="G6" s="830"/>
      <c r="H6" s="1150" t="s">
        <v>1003</v>
      </c>
      <c r="I6" s="852"/>
      <c r="J6" s="1174"/>
      <c r="K6" s="757"/>
      <c r="L6" s="768"/>
    </row>
    <row r="7" spans="1:78" ht="132" hidden="1" customHeight="1" thickBot="1" x14ac:dyDescent="0.35">
      <c r="A7" s="1147"/>
      <c r="B7" s="1148"/>
      <c r="C7" s="1148"/>
      <c r="D7" s="1148"/>
      <c r="E7" s="1148"/>
      <c r="F7" s="1149"/>
      <c r="G7" s="830"/>
      <c r="H7" s="1151"/>
      <c r="I7" s="769"/>
      <c r="J7" s="1175"/>
      <c r="K7" s="757"/>
      <c r="L7" s="768">
        <f>+(Import!$L$72+Import!$L$77+Import!$L$74-Import!$L$75-Import!$L$76)</f>
        <v>0</v>
      </c>
    </row>
    <row r="8" spans="1:78" ht="27.75" hidden="1" customHeight="1" thickBot="1" x14ac:dyDescent="0.35">
      <c r="A8" s="1153" t="s">
        <v>1004</v>
      </c>
      <c r="B8" s="1153"/>
      <c r="C8" s="1153"/>
      <c r="D8" s="1153"/>
      <c r="E8" s="770" t="s">
        <v>761</v>
      </c>
      <c r="F8" s="770" t="s">
        <v>1005</v>
      </c>
      <c r="G8" s="771" t="s">
        <v>616</v>
      </c>
      <c r="H8" s="1152"/>
      <c r="I8" s="772"/>
      <c r="J8" s="1176"/>
      <c r="K8" s="757"/>
      <c r="L8" s="767" t="b">
        <f>IF($L$7&gt;10000000,"25%",IF($L$7&gt;999999,"34%",IF($L$7&gt;99999,"71%",IF($L$7&gt;1,"100%"))))</f>
        <v>0</v>
      </c>
      <c r="M8" s="773"/>
      <c r="O8" s="774"/>
      <c r="P8" s="775"/>
    </row>
    <row r="9" spans="1:78" ht="202.5" hidden="1" customHeight="1" thickBot="1" x14ac:dyDescent="0.35">
      <c r="A9" s="1154"/>
      <c r="B9" s="1155"/>
      <c r="C9" s="1155"/>
      <c r="D9" s="1156"/>
      <c r="E9" s="776" t="b">
        <f>IF($L$7&gt;10000000,"25% -- Average of similar units is 46%",IF($L$7&gt;999999,"34% -- Average of similar units is 63%",IF($L$7&gt;99999,"71% -- Average of similar units is 132%",IF($L$7&gt;1,"100 %-- Average of similar units is 260%"))))</f>
        <v>0</v>
      </c>
      <c r="F9" s="777"/>
      <c r="G9" s="778"/>
      <c r="H9" s="855" t="s">
        <v>1006</v>
      </c>
      <c r="I9" s="868" t="s">
        <v>955</v>
      </c>
      <c r="J9" s="871"/>
      <c r="K9" s="757"/>
      <c r="L9" s="883" t="e">
        <f>+#REF!</f>
        <v>#REF!</v>
      </c>
      <c r="M9" s="773"/>
      <c r="O9" s="774"/>
      <c r="P9" s="775"/>
    </row>
    <row r="10" spans="1:78" ht="202.5" hidden="1" customHeight="1" thickBot="1" x14ac:dyDescent="0.35">
      <c r="A10" s="1154"/>
      <c r="B10" s="1155"/>
      <c r="C10" s="1155"/>
      <c r="D10" s="1156"/>
      <c r="E10" s="776" t="str">
        <f>IF($K$5&gt;99999999,"16%--Median of simiar units is 32%","20%--Median of similar units is 39%")</f>
        <v>20%--Median of similar units is 39%</v>
      </c>
      <c r="F10" s="777"/>
      <c r="G10" s="778"/>
      <c r="H10" s="855" t="s">
        <v>1038</v>
      </c>
      <c r="I10" s="868" t="s">
        <v>955</v>
      </c>
      <c r="J10" s="871"/>
      <c r="K10" s="884">
        <f>IF($K$5&gt;99999999,16%,20%)</f>
        <v>0.2</v>
      </c>
      <c r="L10" s="883" t="e">
        <f>+#REF!</f>
        <v>#REF!</v>
      </c>
      <c r="M10" s="773"/>
      <c r="O10" s="774"/>
      <c r="P10" s="775"/>
    </row>
    <row r="11" spans="1:78" ht="202.5" hidden="1" customHeight="1" thickBot="1" x14ac:dyDescent="0.35">
      <c r="A11" s="1154"/>
      <c r="B11" s="1155"/>
      <c r="C11" s="1155"/>
      <c r="D11" s="1156"/>
      <c r="E11" s="885">
        <v>0.08</v>
      </c>
      <c r="F11" s="777"/>
      <c r="G11" s="778"/>
      <c r="H11" s="855" t="s">
        <v>996</v>
      </c>
      <c r="I11" s="868" t="s">
        <v>955</v>
      </c>
      <c r="J11" s="871"/>
      <c r="K11" s="757"/>
      <c r="L11" s="882" t="e">
        <f>++#REF!</f>
        <v>#REF!</v>
      </c>
      <c r="M11" s="773"/>
      <c r="O11" s="774"/>
      <c r="P11" s="775"/>
    </row>
    <row r="12" spans="1:78" ht="152.25" hidden="1" customHeight="1" thickBot="1" x14ac:dyDescent="0.35">
      <c r="A12" s="751" t="s">
        <v>643</v>
      </c>
      <c r="B12" s="887"/>
      <c r="C12" s="887"/>
      <c r="D12" s="888">
        <f>+Import!L65</f>
        <v>0</v>
      </c>
      <c r="E12" s="889"/>
      <c r="F12" s="888">
        <f>+D12</f>
        <v>0</v>
      </c>
      <c r="G12" s="890"/>
      <c r="H12" s="890" t="s">
        <v>734</v>
      </c>
      <c r="I12" s="893" t="s">
        <v>644</v>
      </c>
      <c r="J12" s="894"/>
      <c r="K12" s="758"/>
      <c r="L12" s="759"/>
      <c r="M12" s="759"/>
      <c r="N12" s="759"/>
      <c r="O12" s="759"/>
      <c r="P12" s="759"/>
      <c r="Y12" s="268"/>
      <c r="Z12" s="173" t="s">
        <v>956</v>
      </c>
    </row>
    <row r="13" spans="1:78" ht="51.75" hidden="1" customHeight="1" thickBot="1" x14ac:dyDescent="0.35">
      <c r="A13" s="780" t="s">
        <v>1039</v>
      </c>
      <c r="B13" s="781"/>
      <c r="C13" s="781"/>
      <c r="D13" s="781"/>
      <c r="E13" s="770" t="s">
        <v>761</v>
      </c>
      <c r="F13" s="770" t="s">
        <v>1005</v>
      </c>
      <c r="G13" s="782"/>
      <c r="H13" s="891" t="s">
        <v>1007</v>
      </c>
      <c r="I13" s="853"/>
      <c r="J13" s="853"/>
      <c r="K13" s="757"/>
      <c r="L13" s="784" t="e">
        <f>HLOOKUP($B$5,#REF!,244,FALSE)</f>
        <v>#N/A</v>
      </c>
      <c r="M13" s="784" t="e">
        <f>HLOOKUP(B5,'2020 Data(H)'!E2:CZ350,244,FALSE)</f>
        <v>#N/A</v>
      </c>
      <c r="N13" s="784" t="e">
        <f>Import!L268</f>
        <v>#N/A</v>
      </c>
      <c r="O13" s="785"/>
      <c r="P13" s="786"/>
      <c r="Q13" s="787"/>
      <c r="R13" s="787"/>
      <c r="S13" s="787"/>
      <c r="T13" s="787"/>
      <c r="U13" s="787"/>
      <c r="V13" s="787"/>
      <c r="W13" s="787"/>
      <c r="X13" s="787"/>
      <c r="Y13" s="787"/>
      <c r="Z13" s="787"/>
      <c r="AA13" s="787"/>
      <c r="AB13" s="787"/>
      <c r="AC13" s="787"/>
      <c r="AD13" s="787"/>
      <c r="AE13" s="787"/>
      <c r="AF13" s="787"/>
      <c r="AG13" s="787"/>
      <c r="AH13" s="787"/>
      <c r="AI13" s="787"/>
      <c r="AJ13" s="787"/>
      <c r="AK13" s="787"/>
      <c r="AL13" s="787"/>
      <c r="AM13" s="787"/>
      <c r="AN13" s="787"/>
      <c r="AO13" s="787"/>
      <c r="AP13" s="787"/>
      <c r="AQ13" s="787"/>
      <c r="AR13" s="787"/>
      <c r="AS13" s="787"/>
      <c r="AT13" s="787"/>
      <c r="AU13" s="787"/>
      <c r="AV13" s="787"/>
      <c r="AW13" s="787"/>
      <c r="AX13" s="787"/>
      <c r="AY13" s="787"/>
      <c r="AZ13" s="787"/>
      <c r="BA13" s="787"/>
      <c r="BB13" s="787"/>
      <c r="BC13" s="787"/>
      <c r="BD13" s="787"/>
      <c r="BE13" s="787"/>
      <c r="BF13" s="787"/>
      <c r="BG13" s="787"/>
      <c r="BH13" s="787"/>
      <c r="BI13" s="787"/>
      <c r="BJ13" s="787"/>
      <c r="BK13" s="787"/>
      <c r="BL13" s="787"/>
      <c r="BM13" s="787"/>
      <c r="BN13" s="787"/>
      <c r="BO13" s="787"/>
      <c r="BP13" s="787"/>
      <c r="BQ13" s="787"/>
      <c r="BR13" s="787"/>
      <c r="BS13" s="787"/>
      <c r="BT13" s="787"/>
      <c r="BU13" s="787"/>
      <c r="BV13" s="787"/>
      <c r="BW13" s="787"/>
      <c r="BX13" s="787"/>
      <c r="BY13" s="787"/>
      <c r="BZ13" s="787"/>
    </row>
    <row r="14" spans="1:78" ht="202.5" hidden="1" customHeight="1" thickBot="1" x14ac:dyDescent="0.35">
      <c r="A14" s="788"/>
      <c r="B14" s="789"/>
      <c r="C14" s="789"/>
      <c r="D14" s="790"/>
      <c r="E14" s="791" t="s">
        <v>613</v>
      </c>
      <c r="F14" s="792" t="e">
        <f>#REF!</f>
        <v>#REF!</v>
      </c>
      <c r="G14" s="793"/>
      <c r="H14" s="855" t="s">
        <v>1008</v>
      </c>
      <c r="I14" s="869" t="s">
        <v>617</v>
      </c>
      <c r="J14" s="871"/>
      <c r="K14" s="757"/>
      <c r="L14" s="784" t="e">
        <f>HLOOKUP($B$5,#REF!,299,FALSE)</f>
        <v>#N/A</v>
      </c>
      <c r="M14" s="784" t="e">
        <f>HLOOKUP(B4,'2020 Data(H)'!E1:CB426,347,FALSE)</f>
        <v>#N/A</v>
      </c>
      <c r="N14" s="784" t="e">
        <f>+(Import!$L$120-Import!$L$121-Import!$L$118-Import!$L$119)/(Import!$L$124-Import!$L$125-Import!$L$126-Import!$L$127-Import!$L$128-Import!$L$129-Import!$L$123)</f>
        <v>#DIV/0!</v>
      </c>
    </row>
    <row r="15" spans="1:78" ht="27.75" hidden="1" customHeight="1" thickBot="1" x14ac:dyDescent="0.35">
      <c r="A15" s="794"/>
      <c r="B15" s="795" t="s">
        <v>1009</v>
      </c>
      <c r="C15" s="795" t="s">
        <v>1010</v>
      </c>
      <c r="D15" s="795" t="s">
        <v>1011</v>
      </c>
      <c r="E15" s="770" t="s">
        <v>761</v>
      </c>
      <c r="F15" s="770" t="s">
        <v>1005</v>
      </c>
      <c r="G15" s="796"/>
      <c r="H15" s="783"/>
      <c r="I15" s="853"/>
      <c r="J15" s="853"/>
      <c r="K15" s="757"/>
      <c r="L15" s="784"/>
      <c r="M15" s="784"/>
      <c r="N15" s="784"/>
    </row>
    <row r="16" spans="1:78" ht="69.599999999999994" hidden="1" customHeight="1" thickBot="1" x14ac:dyDescent="0.35">
      <c r="A16" s="797" t="s">
        <v>650</v>
      </c>
      <c r="B16" s="798" t="e">
        <f>IF(L13=0,"Not Applicable",L16)</f>
        <v>#N/A</v>
      </c>
      <c r="C16" s="798" t="e">
        <f>IF(M13=0,"Not Applicable",M16)</f>
        <v>#N/A</v>
      </c>
      <c r="D16" s="798" t="e">
        <f>IF(N13=0,"Not Applicable",N16)</f>
        <v>#N/A</v>
      </c>
      <c r="E16" s="799" t="s">
        <v>1012</v>
      </c>
      <c r="F16" s="798" t="e">
        <f>D16</f>
        <v>#N/A</v>
      </c>
      <c r="G16" s="800" t="s">
        <v>651</v>
      </c>
      <c r="H16" s="855" t="s">
        <v>1013</v>
      </c>
      <c r="I16" s="869" t="s">
        <v>1043</v>
      </c>
      <c r="J16" s="872"/>
      <c r="K16" s="757"/>
      <c r="L16" s="802" t="e">
        <f>HLOOKUP(B5,#REF!,300,FALSE)</f>
        <v>#N/A</v>
      </c>
      <c r="M16" s="802" t="e">
        <f>HLOOKUP(B4,'2020 Data(H)'!F1:CC426,348,FALSE)</f>
        <v>#N/A</v>
      </c>
      <c r="N16" s="768">
        <f>+Import!$L$153-Import!$L$155+Import!$L$154-Import!$L$182</f>
        <v>0</v>
      </c>
    </row>
    <row r="17" spans="1:81" ht="109.95" hidden="1" customHeight="1" thickBot="1" x14ac:dyDescent="0.35">
      <c r="A17" s="797" t="s">
        <v>672</v>
      </c>
      <c r="B17" s="803" t="e">
        <f>IF(L13=0,"Not Applicable",L17)</f>
        <v>#N/A</v>
      </c>
      <c r="C17" s="803" t="e">
        <f t="shared" ref="C17:D17" si="0">IF(M13=0,"Not Applicable",M17)</f>
        <v>#N/A</v>
      </c>
      <c r="D17" s="803" t="e">
        <f t="shared" si="0"/>
        <v>#N/A</v>
      </c>
      <c r="E17" s="799" t="s">
        <v>990</v>
      </c>
      <c r="F17" s="804" t="e">
        <f>D17</f>
        <v>#N/A</v>
      </c>
      <c r="G17" s="800" t="s">
        <v>652</v>
      </c>
      <c r="H17" s="855" t="s">
        <v>1014</v>
      </c>
      <c r="I17" s="869" t="s">
        <v>652</v>
      </c>
      <c r="J17" s="871"/>
      <c r="K17" s="757"/>
      <c r="L17" s="805" t="e">
        <f>HLOOKUP(B5,#REF!,301,FALSE)</f>
        <v>#N/A</v>
      </c>
      <c r="M17" s="805" t="e">
        <f>HLOOKUP(B4,'2020 Data(H)'!F1:CC426,349,FALSE)</f>
        <v>#N/A</v>
      </c>
      <c r="N17" s="805" t="e">
        <f>+Import!L116/(Import!L155+Import!L158-Import!L154+Import!L182)</f>
        <v>#DIV/0!</v>
      </c>
      <c r="O17" s="756"/>
    </row>
    <row r="18" spans="1:81" ht="75" hidden="1" customHeight="1" thickBot="1" x14ac:dyDescent="0.4">
      <c r="A18" s="1157" t="s">
        <v>991</v>
      </c>
      <c r="B18" s="1158"/>
      <c r="C18" s="1159"/>
      <c r="D18" s="806" t="str">
        <f>IF(M18&lt;0,"Yes","No")</f>
        <v>No</v>
      </c>
      <c r="E18" s="807"/>
      <c r="F18" s="808" t="str">
        <f>D18</f>
        <v>No</v>
      </c>
      <c r="G18" s="801" t="s">
        <v>1015</v>
      </c>
      <c r="H18" s="855" t="s">
        <v>1016</v>
      </c>
      <c r="I18" s="870" t="s">
        <v>992</v>
      </c>
      <c r="J18" s="872"/>
      <c r="K18" s="757"/>
      <c r="L18" s="809"/>
      <c r="M18" s="809">
        <f>((Import!L158+Import!L155)*0.03)-Import!L161</f>
        <v>0</v>
      </c>
      <c r="N18" s="268">
        <f>L18*0.03</f>
        <v>0</v>
      </c>
    </row>
    <row r="19" spans="1:81" ht="15" hidden="1" thickBot="1" x14ac:dyDescent="0.35">
      <c r="A19" s="810"/>
      <c r="B19" s="811"/>
      <c r="C19" s="811"/>
      <c r="D19" s="811"/>
      <c r="E19" s="812"/>
      <c r="F19" s="811"/>
      <c r="G19" s="813"/>
      <c r="H19" s="811"/>
      <c r="I19" s="850"/>
      <c r="J19" s="850"/>
    </row>
    <row r="20" spans="1:81" ht="27.75" hidden="1" customHeight="1" thickBot="1" x14ac:dyDescent="0.35">
      <c r="A20" s="1160" t="s">
        <v>1017</v>
      </c>
      <c r="B20" s="1161"/>
      <c r="C20" s="1161"/>
      <c r="D20" s="1161"/>
      <c r="E20" s="770" t="s">
        <v>761</v>
      </c>
      <c r="F20" s="770" t="s">
        <v>1005</v>
      </c>
      <c r="G20" s="814" t="s">
        <v>671</v>
      </c>
      <c r="H20" s="815"/>
      <c r="I20" s="854"/>
      <c r="J20" s="854"/>
      <c r="K20" s="757"/>
      <c r="L20" s="784" t="e">
        <f>HLOOKUP(B5,#REF!,243,FALSE)</f>
        <v>#N/A</v>
      </c>
      <c r="M20" s="816" t="e">
        <f>HLOOKUP(B5,'2020 Data(H)'!E2:CZ350,243,FALSE)</f>
        <v>#N/A</v>
      </c>
      <c r="N20" s="817" t="e">
        <f>+Import!L267</f>
        <v>#N/A</v>
      </c>
    </row>
    <row r="21" spans="1:81" ht="202.5" hidden="1" customHeight="1" thickBot="1" x14ac:dyDescent="0.35">
      <c r="A21" s="1162"/>
      <c r="B21" s="1163"/>
      <c r="C21" s="1163"/>
      <c r="D21" s="1164"/>
      <c r="E21" s="799" t="s">
        <v>613</v>
      </c>
      <c r="F21" s="849" t="e">
        <f>#REF!</f>
        <v>#REF!</v>
      </c>
      <c r="G21" s="801"/>
      <c r="H21" s="866" t="s">
        <v>1018</v>
      </c>
      <c r="I21" s="856" t="s">
        <v>658</v>
      </c>
      <c r="J21" s="873"/>
      <c r="K21" s="757"/>
      <c r="L21" s="816" t="e">
        <f>HLOOKUP(B5,#REF!,302,FALSE)</f>
        <v>#N/A</v>
      </c>
      <c r="M21" s="784" t="e">
        <f>HLOOKUP(B4,'2020 Data(H)'!F1:CC426,350,FALSE)</f>
        <v>#N/A</v>
      </c>
      <c r="N21" s="784" t="e">
        <f>+(Import!L138-Import!L139-Import!L137-Import!L136)/(Import!L143-Import!L144-Import!L145-Import!L146-Import!L147-Import!L148-Import!L142)</f>
        <v>#DIV/0!</v>
      </c>
    </row>
    <row r="22" spans="1:81" ht="27.75" hidden="1" customHeight="1" thickBot="1" x14ac:dyDescent="0.35">
      <c r="A22" s="819"/>
      <c r="B22" s="820" t="s">
        <v>1009</v>
      </c>
      <c r="C22" s="820" t="s">
        <v>1010</v>
      </c>
      <c r="D22" s="820" t="s">
        <v>1011</v>
      </c>
      <c r="E22" s="770" t="s">
        <v>761</v>
      </c>
      <c r="F22" s="770" t="s">
        <v>1005</v>
      </c>
      <c r="G22" s="801"/>
      <c r="H22" s="779"/>
      <c r="I22" s="856"/>
      <c r="J22" s="779"/>
      <c r="K22" s="757"/>
      <c r="L22" s="816"/>
      <c r="M22" s="784"/>
      <c r="N22" s="784"/>
    </row>
    <row r="23" spans="1:81" ht="71.25" hidden="1" customHeight="1" thickBot="1" x14ac:dyDescent="0.35">
      <c r="A23" s="797" t="s">
        <v>650</v>
      </c>
      <c r="B23" s="821" t="e">
        <f>IF(L20=0,"N/A",L23)</f>
        <v>#N/A</v>
      </c>
      <c r="C23" s="821" t="e">
        <f>IF(M20=0,"N/A",M23)</f>
        <v>#N/A</v>
      </c>
      <c r="D23" s="821" t="e">
        <f>IF(N20=0,"N/A",N23)</f>
        <v>#N/A</v>
      </c>
      <c r="E23" s="799" t="s">
        <v>763</v>
      </c>
      <c r="F23" s="829" t="e">
        <f>D23</f>
        <v>#N/A</v>
      </c>
      <c r="G23" s="801"/>
      <c r="H23" s="866" t="s">
        <v>1019</v>
      </c>
      <c r="I23" s="874" t="s">
        <v>1044</v>
      </c>
      <c r="J23" s="872"/>
      <c r="K23" s="757"/>
      <c r="L23" s="802" t="e">
        <f>HLOOKUP(B5,#REF!,303,FALSE)</f>
        <v>#N/A</v>
      </c>
      <c r="M23" s="802" t="e">
        <f>HLOOKUP(B4,'2020 Data(H)'!F1:CC426,351,FALSE)</f>
        <v>#N/A</v>
      </c>
      <c r="N23" s="802">
        <f>+Import!L168-Import!L171+Import!L170-Import!L185</f>
        <v>0</v>
      </c>
    </row>
    <row r="24" spans="1:81" s="268" customFormat="1" ht="102.75" hidden="1" customHeight="1" thickBot="1" x14ac:dyDescent="0.35">
      <c r="A24" s="797" t="s">
        <v>672</v>
      </c>
      <c r="B24" s="803" t="e">
        <f>IF(L20=0,"N/A",L24)</f>
        <v>#N/A</v>
      </c>
      <c r="C24" s="803" t="e">
        <f>IF(M20=0,"N/A",M24)</f>
        <v>#N/A</v>
      </c>
      <c r="D24" s="803" t="e">
        <f>IF(N20=0,"N/A",N24)</f>
        <v>#N/A</v>
      </c>
      <c r="E24" s="799" t="s">
        <v>990</v>
      </c>
      <c r="F24" s="804" t="e">
        <f>D24</f>
        <v>#N/A</v>
      </c>
      <c r="G24" s="801"/>
      <c r="H24" s="855" t="s">
        <v>1014</v>
      </c>
      <c r="I24" s="874" t="s">
        <v>662</v>
      </c>
      <c r="J24" s="871"/>
      <c r="K24" s="757"/>
      <c r="L24" s="805" t="e">
        <f>HLOOKUP(B5,#REF!,304,FALSE)</f>
        <v>#N/A</v>
      </c>
      <c r="M24" s="805" t="e">
        <f>HLOOKUP(B4,'2020 Data(H)'!F1:CC426,352,FALSE)</f>
        <v>#N/A</v>
      </c>
      <c r="N24" s="805" t="e">
        <f>+Import!L134/(Import!L174+Import!L171-Import!L170+Import!L185)</f>
        <v>#DIV/0!</v>
      </c>
      <c r="P24" s="758"/>
      <c r="Q24" s="759"/>
      <c r="R24" s="759"/>
      <c r="S24" s="759"/>
      <c r="T24" s="759"/>
      <c r="U24" s="759"/>
      <c r="V24" s="759"/>
      <c r="W24" s="759"/>
      <c r="X24" s="759"/>
      <c r="Y24" s="759"/>
      <c r="Z24" s="759"/>
      <c r="AA24" s="759"/>
      <c r="AB24" s="759"/>
      <c r="AC24" s="759"/>
      <c r="AD24" s="759"/>
      <c r="AE24" s="759"/>
      <c r="AF24" s="759"/>
      <c r="AG24" s="759"/>
      <c r="AH24" s="759"/>
      <c r="AI24" s="759"/>
      <c r="AJ24" s="759"/>
      <c r="AK24" s="759"/>
      <c r="AL24" s="759"/>
      <c r="AM24" s="759"/>
      <c r="AN24" s="759"/>
      <c r="AO24" s="759"/>
      <c r="AP24" s="759"/>
      <c r="AQ24" s="759"/>
      <c r="AR24" s="759"/>
      <c r="AS24" s="759"/>
      <c r="AT24" s="759"/>
      <c r="AU24" s="759"/>
      <c r="AV24" s="759"/>
      <c r="AW24" s="759"/>
      <c r="AX24" s="759"/>
      <c r="AY24" s="759"/>
      <c r="AZ24" s="759"/>
      <c r="BA24" s="759"/>
      <c r="BB24" s="759"/>
      <c r="BC24" s="759"/>
      <c r="BD24" s="759"/>
      <c r="BE24" s="759"/>
      <c r="BF24" s="759"/>
      <c r="BG24" s="759"/>
      <c r="BH24" s="759"/>
      <c r="BI24" s="759"/>
      <c r="BJ24" s="759"/>
      <c r="BK24" s="759"/>
      <c r="BL24" s="759"/>
      <c r="BM24" s="759"/>
      <c r="BN24" s="759"/>
      <c r="BO24" s="759"/>
      <c r="BP24" s="759"/>
      <c r="BQ24" s="759"/>
      <c r="BR24" s="759"/>
      <c r="BS24" s="759"/>
      <c r="BT24" s="759"/>
      <c r="BU24" s="759"/>
      <c r="BV24" s="759"/>
      <c r="BW24" s="759"/>
      <c r="BX24" s="759"/>
      <c r="BY24" s="759"/>
      <c r="BZ24" s="759"/>
      <c r="CA24" s="759"/>
      <c r="CB24" s="759"/>
      <c r="CC24" s="759"/>
    </row>
    <row r="25" spans="1:81" s="268" customFormat="1" ht="25.5" hidden="1" customHeight="1" thickBot="1" x14ac:dyDescent="0.35">
      <c r="A25" s="857" t="s">
        <v>762</v>
      </c>
      <c r="B25" s="860"/>
      <c r="C25" s="860"/>
      <c r="D25" s="860"/>
      <c r="E25" s="861"/>
      <c r="F25" s="862"/>
      <c r="G25" s="858"/>
      <c r="H25" s="859"/>
      <c r="I25" s="895"/>
      <c r="J25" s="896"/>
      <c r="K25" s="757"/>
      <c r="L25" s="805"/>
      <c r="M25" s="805"/>
      <c r="N25" s="805"/>
      <c r="P25" s="758"/>
      <c r="Q25" s="759"/>
      <c r="R25" s="759"/>
      <c r="S25" s="759"/>
      <c r="T25" s="759"/>
      <c r="U25" s="759"/>
      <c r="V25" s="759"/>
      <c r="W25" s="759"/>
      <c r="X25" s="759"/>
      <c r="Y25" s="759"/>
      <c r="Z25" s="759"/>
      <c r="AA25" s="759"/>
      <c r="AB25" s="759"/>
      <c r="AC25" s="759"/>
      <c r="AD25" s="759"/>
      <c r="AE25" s="759"/>
      <c r="AF25" s="759"/>
      <c r="AG25" s="759"/>
      <c r="AH25" s="759"/>
      <c r="AI25" s="759"/>
      <c r="AJ25" s="759"/>
      <c r="AK25" s="759"/>
      <c r="AL25" s="759"/>
      <c r="AM25" s="759"/>
      <c r="AN25" s="759"/>
      <c r="AO25" s="759"/>
      <c r="AP25" s="759"/>
      <c r="AQ25" s="759"/>
      <c r="AR25" s="759"/>
      <c r="AS25" s="759"/>
      <c r="AT25" s="759"/>
      <c r="AU25" s="759"/>
      <c r="AV25" s="759"/>
      <c r="AW25" s="759"/>
      <c r="AX25" s="759"/>
      <c r="AY25" s="759"/>
      <c r="AZ25" s="759"/>
      <c r="BA25" s="759"/>
      <c r="BB25" s="759"/>
      <c r="BC25" s="759"/>
      <c r="BD25" s="759"/>
      <c r="BE25" s="759"/>
      <c r="BF25" s="759"/>
      <c r="BG25" s="759"/>
      <c r="BH25" s="759"/>
      <c r="BI25" s="759"/>
      <c r="BJ25" s="759"/>
      <c r="BK25" s="759"/>
      <c r="BL25" s="759"/>
      <c r="BM25" s="759"/>
      <c r="BN25" s="759"/>
      <c r="BO25" s="759"/>
      <c r="BP25" s="759"/>
      <c r="BQ25" s="759"/>
      <c r="BR25" s="759"/>
      <c r="BS25" s="759"/>
      <c r="BT25" s="759"/>
      <c r="BU25" s="759"/>
      <c r="BV25" s="759"/>
      <c r="BW25" s="759"/>
      <c r="BX25" s="759"/>
      <c r="BY25" s="759"/>
      <c r="BZ25" s="759"/>
      <c r="CA25" s="759"/>
      <c r="CB25" s="759"/>
      <c r="CC25" s="759"/>
    </row>
    <row r="26" spans="1:81" s="268" customFormat="1" ht="88.5" hidden="1" customHeight="1" thickBot="1" x14ac:dyDescent="0.35">
      <c r="A26" s="857" t="s">
        <v>444</v>
      </c>
      <c r="B26" s="860"/>
      <c r="C26" s="860"/>
      <c r="D26" s="897" t="str">
        <f>+N26</f>
        <v/>
      </c>
      <c r="E26" s="799" t="s">
        <v>613</v>
      </c>
      <c r="F26" s="898" t="str">
        <f>+N26</f>
        <v/>
      </c>
      <c r="G26" s="858"/>
      <c r="H26" s="866" t="s">
        <v>1018</v>
      </c>
      <c r="I26" s="856" t="s">
        <v>997</v>
      </c>
      <c r="J26" s="871"/>
      <c r="K26" s="757"/>
      <c r="L26" s="805"/>
      <c r="M26" s="805"/>
      <c r="N26" s="886" t="str">
        <f>IFERROR((+Import!L94-Import!L93)/Import!L95,"")</f>
        <v/>
      </c>
      <c r="P26" s="758"/>
      <c r="Q26" s="759"/>
      <c r="R26" s="759"/>
      <c r="S26" s="759"/>
      <c r="T26" s="759"/>
      <c r="U26" s="759"/>
      <c r="V26" s="759"/>
      <c r="W26" s="759"/>
      <c r="X26" s="759"/>
      <c r="Y26" s="759"/>
      <c r="Z26" s="759"/>
      <c r="AA26" s="759"/>
      <c r="AB26" s="759"/>
      <c r="AC26" s="759"/>
      <c r="AD26" s="759"/>
      <c r="AE26" s="759"/>
      <c r="AF26" s="759"/>
      <c r="AG26" s="759"/>
      <c r="AH26" s="759"/>
      <c r="AI26" s="759"/>
      <c r="AJ26" s="759"/>
      <c r="AK26" s="759"/>
      <c r="AL26" s="759"/>
      <c r="AM26" s="759"/>
      <c r="AN26" s="759"/>
      <c r="AO26" s="759"/>
      <c r="AP26" s="759"/>
      <c r="AQ26" s="759"/>
      <c r="AR26" s="759"/>
      <c r="AS26" s="759"/>
      <c r="AT26" s="759"/>
      <c r="AU26" s="759"/>
      <c r="AV26" s="759"/>
      <c r="AW26" s="759"/>
      <c r="AX26" s="759"/>
      <c r="AY26" s="759"/>
      <c r="AZ26" s="759"/>
      <c r="BA26" s="759"/>
      <c r="BB26" s="759"/>
      <c r="BC26" s="759"/>
      <c r="BD26" s="759"/>
      <c r="BE26" s="759"/>
      <c r="BF26" s="759"/>
      <c r="BG26" s="759"/>
      <c r="BH26" s="759"/>
      <c r="BI26" s="759"/>
      <c r="BJ26" s="759"/>
      <c r="BK26" s="759"/>
      <c r="BL26" s="759"/>
      <c r="BM26" s="759"/>
      <c r="BN26" s="759"/>
      <c r="BO26" s="759"/>
      <c r="BP26" s="759"/>
      <c r="BQ26" s="759"/>
      <c r="BR26" s="759"/>
      <c r="BS26" s="759"/>
      <c r="BT26" s="759"/>
      <c r="BU26" s="759"/>
      <c r="BV26" s="759"/>
      <c r="BW26" s="759"/>
      <c r="BX26" s="759"/>
      <c r="BY26" s="759"/>
      <c r="BZ26" s="759"/>
      <c r="CA26" s="759"/>
      <c r="CB26" s="759"/>
      <c r="CC26" s="759"/>
    </row>
    <row r="27" spans="1:81" s="268" customFormat="1" ht="18.600000000000001" hidden="1" thickBot="1" x14ac:dyDescent="0.35">
      <c r="A27" s="822"/>
      <c r="B27" s="823"/>
      <c r="C27" s="823"/>
      <c r="D27" s="823"/>
      <c r="E27" s="824"/>
      <c r="F27" s="823"/>
      <c r="G27" s="825"/>
      <c r="H27" s="823"/>
      <c r="I27" s="875"/>
      <c r="J27" s="850"/>
      <c r="K27" s="760"/>
      <c r="N27" s="774"/>
      <c r="P27" s="758"/>
      <c r="Q27" s="759"/>
      <c r="R27" s="759"/>
      <c r="S27" s="759"/>
      <c r="T27" s="759"/>
      <c r="U27" s="759"/>
      <c r="V27" s="759"/>
      <c r="W27" s="759"/>
      <c r="X27" s="759"/>
      <c r="Y27" s="759"/>
      <c r="Z27" s="759"/>
      <c r="AA27" s="759"/>
      <c r="AB27" s="759"/>
      <c r="AC27" s="759"/>
      <c r="AD27" s="759"/>
      <c r="AE27" s="759"/>
      <c r="AF27" s="759"/>
      <c r="AG27" s="759"/>
      <c r="AH27" s="759"/>
      <c r="AI27" s="759"/>
      <c r="AJ27" s="759"/>
      <c r="AK27" s="759"/>
      <c r="AL27" s="759"/>
      <c r="AM27" s="759"/>
      <c r="AN27" s="759"/>
      <c r="AO27" s="759"/>
      <c r="AP27" s="759"/>
      <c r="AQ27" s="759"/>
      <c r="AR27" s="759"/>
      <c r="AS27" s="759"/>
      <c r="AT27" s="759"/>
      <c r="AU27" s="759"/>
      <c r="AV27" s="759"/>
      <c r="AW27" s="759"/>
      <c r="AX27" s="759"/>
      <c r="AY27" s="759"/>
      <c r="AZ27" s="759"/>
      <c r="BA27" s="759"/>
      <c r="BB27" s="759"/>
      <c r="BC27" s="759"/>
      <c r="BD27" s="759"/>
      <c r="BE27" s="759"/>
      <c r="BF27" s="759"/>
      <c r="BG27" s="759"/>
      <c r="BH27" s="759"/>
      <c r="BI27" s="759"/>
      <c r="BJ27" s="759"/>
      <c r="BK27" s="759"/>
      <c r="BL27" s="759"/>
      <c r="BM27" s="759"/>
      <c r="BN27" s="759"/>
      <c r="BO27" s="759"/>
      <c r="BP27" s="759"/>
      <c r="BQ27" s="759"/>
      <c r="BR27" s="759"/>
      <c r="BS27" s="759"/>
      <c r="BT27" s="759"/>
      <c r="BU27" s="759"/>
      <c r="BV27" s="759"/>
      <c r="BW27" s="759"/>
      <c r="BX27" s="759"/>
      <c r="BY27" s="759"/>
      <c r="BZ27" s="759"/>
      <c r="CA27" s="759"/>
      <c r="CB27" s="759"/>
      <c r="CC27" s="759"/>
    </row>
    <row r="28" spans="1:81" s="268" customFormat="1" ht="18.600000000000001" hidden="1" thickBot="1" x14ac:dyDescent="0.35">
      <c r="A28" s="1160" t="s">
        <v>1020</v>
      </c>
      <c r="B28" s="1161"/>
      <c r="C28" s="1165"/>
      <c r="D28" s="277" t="s">
        <v>1011</v>
      </c>
      <c r="E28" s="278" t="s">
        <v>1021</v>
      </c>
      <c r="F28" s="826"/>
      <c r="G28" s="827"/>
      <c r="H28" s="828"/>
      <c r="I28" s="877"/>
      <c r="J28" s="828"/>
      <c r="K28" s="757"/>
      <c r="P28" s="758"/>
      <c r="Q28" s="759"/>
      <c r="R28" s="759"/>
      <c r="S28" s="759"/>
      <c r="T28" s="759"/>
      <c r="U28" s="759"/>
      <c r="V28" s="759"/>
      <c r="W28" s="759"/>
      <c r="X28" s="759"/>
      <c r="Y28" s="759"/>
      <c r="Z28" s="759"/>
      <c r="AA28" s="759"/>
      <c r="AB28" s="759"/>
      <c r="AC28" s="759"/>
      <c r="AD28" s="759"/>
      <c r="AE28" s="759"/>
      <c r="AF28" s="759"/>
      <c r="AG28" s="759"/>
      <c r="AH28" s="759"/>
      <c r="AI28" s="759"/>
      <c r="AJ28" s="759"/>
      <c r="AK28" s="759"/>
      <c r="AL28" s="759"/>
      <c r="AM28" s="759"/>
      <c r="AN28" s="759"/>
      <c r="AO28" s="759"/>
      <c r="AP28" s="759"/>
      <c r="AQ28" s="759"/>
      <c r="AR28" s="759"/>
      <c r="AS28" s="759"/>
      <c r="AT28" s="759"/>
      <c r="AU28" s="759"/>
      <c r="AV28" s="759"/>
      <c r="AW28" s="759"/>
      <c r="AX28" s="759"/>
      <c r="AY28" s="759"/>
      <c r="AZ28" s="759"/>
      <c r="BA28" s="759"/>
      <c r="BB28" s="759"/>
      <c r="BC28" s="759"/>
      <c r="BD28" s="759"/>
      <c r="BE28" s="759"/>
      <c r="BF28" s="759"/>
      <c r="BG28" s="759"/>
      <c r="BH28" s="759"/>
      <c r="BI28" s="759"/>
      <c r="BJ28" s="759"/>
      <c r="BK28" s="759"/>
      <c r="BL28" s="759"/>
      <c r="BM28" s="759"/>
      <c r="BN28" s="759"/>
      <c r="BO28" s="759"/>
      <c r="BP28" s="759"/>
      <c r="BQ28" s="759"/>
      <c r="BR28" s="759"/>
      <c r="BS28" s="759"/>
      <c r="BT28" s="759"/>
      <c r="BU28" s="759"/>
      <c r="BV28" s="759"/>
      <c r="BW28" s="759"/>
      <c r="BX28" s="759"/>
      <c r="BY28" s="759"/>
      <c r="BZ28" s="759"/>
      <c r="CA28" s="759"/>
      <c r="CB28" s="759"/>
      <c r="CC28" s="759"/>
    </row>
    <row r="29" spans="1:81" s="268" customFormat="1" ht="92.25" hidden="1" customHeight="1" thickBot="1" x14ac:dyDescent="0.35">
      <c r="A29" s="1166" t="s">
        <v>1041</v>
      </c>
      <c r="B29" s="1166"/>
      <c r="C29" s="1166"/>
      <c r="D29" s="829" t="b">
        <f>IF(Import!L258=1,"Yes",IF(Import!L258=2,"No"))</f>
        <v>0</v>
      </c>
      <c r="E29" s="799" t="s">
        <v>1042</v>
      </c>
      <c r="F29" s="829" t="b">
        <f>D29</f>
        <v>0</v>
      </c>
      <c r="G29" s="801"/>
      <c r="H29" s="867" t="s">
        <v>1022</v>
      </c>
      <c r="I29" s="874" t="s">
        <v>632</v>
      </c>
      <c r="J29" s="876"/>
      <c r="K29" s="757"/>
      <c r="P29" s="758"/>
      <c r="Q29" s="759"/>
      <c r="R29" s="759"/>
      <c r="S29" s="759"/>
      <c r="T29" s="759"/>
      <c r="U29" s="759"/>
      <c r="V29" s="759"/>
      <c r="W29" s="759"/>
      <c r="X29" s="759"/>
      <c r="Y29" s="759"/>
      <c r="Z29" s="759"/>
      <c r="AA29" s="759"/>
      <c r="AB29" s="759"/>
      <c r="AC29" s="759"/>
      <c r="AD29" s="759"/>
      <c r="AE29" s="759"/>
      <c r="AF29" s="759"/>
      <c r="AG29" s="759"/>
      <c r="AH29" s="759"/>
      <c r="AI29" s="759"/>
      <c r="AJ29" s="759"/>
      <c r="AK29" s="759"/>
      <c r="AL29" s="759"/>
      <c r="AM29" s="759"/>
      <c r="AN29" s="759"/>
      <c r="AO29" s="759"/>
      <c r="AP29" s="759"/>
      <c r="AQ29" s="759"/>
      <c r="AR29" s="759"/>
      <c r="AS29" s="759"/>
      <c r="AT29" s="759"/>
      <c r="AU29" s="759"/>
      <c r="AV29" s="759"/>
      <c r="AW29" s="759"/>
      <c r="AX29" s="759"/>
      <c r="AY29" s="759"/>
      <c r="AZ29" s="759"/>
      <c r="BA29" s="759"/>
      <c r="BB29" s="759"/>
      <c r="BC29" s="759"/>
      <c r="BD29" s="759"/>
      <c r="BE29" s="759"/>
      <c r="BF29" s="759"/>
      <c r="BG29" s="759"/>
      <c r="BH29" s="759"/>
      <c r="BI29" s="759"/>
      <c r="BJ29" s="759"/>
      <c r="BK29" s="759"/>
      <c r="BL29" s="759"/>
      <c r="BM29" s="759"/>
      <c r="BN29" s="759"/>
      <c r="BO29" s="759"/>
      <c r="BP29" s="759"/>
      <c r="BQ29" s="759"/>
      <c r="BR29" s="759"/>
      <c r="BS29" s="759"/>
      <c r="BT29" s="759"/>
      <c r="BU29" s="759"/>
      <c r="BV29" s="759"/>
      <c r="BW29" s="759"/>
      <c r="BX29" s="759"/>
      <c r="BY29" s="759"/>
      <c r="BZ29" s="759"/>
      <c r="CA29" s="759"/>
      <c r="CB29" s="759"/>
      <c r="CC29" s="759"/>
    </row>
    <row r="30" spans="1:81" s="268" customFormat="1" ht="18" hidden="1" customHeight="1" thickBot="1" x14ac:dyDescent="0.35">
      <c r="A30" s="1141"/>
      <c r="B30" s="1142"/>
      <c r="C30" s="1143"/>
      <c r="D30" s="831" t="s">
        <v>1011</v>
      </c>
      <c r="E30" s="278" t="s">
        <v>1021</v>
      </c>
      <c r="F30" s="832"/>
      <c r="G30" s="801"/>
      <c r="H30" s="832"/>
      <c r="I30" s="878"/>
      <c r="J30" s="881"/>
      <c r="K30" s="757"/>
      <c r="P30" s="758"/>
      <c r="Q30" s="759"/>
      <c r="R30" s="759"/>
      <c r="S30" s="759"/>
      <c r="T30" s="759"/>
      <c r="U30" s="759"/>
      <c r="V30" s="759"/>
      <c r="W30" s="759"/>
      <c r="X30" s="759"/>
      <c r="Y30" s="759"/>
      <c r="Z30" s="759"/>
      <c r="AA30" s="759"/>
      <c r="AB30" s="759"/>
      <c r="AC30" s="759"/>
      <c r="AD30" s="759"/>
      <c r="AE30" s="759"/>
      <c r="AF30" s="759"/>
      <c r="AG30" s="759"/>
      <c r="AH30" s="759"/>
      <c r="AI30" s="759"/>
      <c r="AJ30" s="759"/>
      <c r="AK30" s="759"/>
      <c r="AL30" s="759"/>
      <c r="AM30" s="759"/>
      <c r="AN30" s="759"/>
      <c r="AO30" s="759"/>
      <c r="AP30" s="759"/>
      <c r="AQ30" s="759"/>
      <c r="AR30" s="759"/>
      <c r="AS30" s="759"/>
      <c r="AT30" s="759"/>
      <c r="AU30" s="759"/>
      <c r="AV30" s="759"/>
      <c r="AW30" s="759"/>
      <c r="AX30" s="759"/>
      <c r="AY30" s="759"/>
      <c r="AZ30" s="759"/>
      <c r="BA30" s="759"/>
      <c r="BB30" s="759"/>
      <c r="BC30" s="759"/>
      <c r="BD30" s="759"/>
      <c r="BE30" s="759"/>
      <c r="BF30" s="759"/>
      <c r="BG30" s="759"/>
      <c r="BH30" s="759"/>
      <c r="BI30" s="759"/>
      <c r="BJ30" s="759"/>
      <c r="BK30" s="759"/>
      <c r="BL30" s="759"/>
      <c r="BM30" s="759"/>
      <c r="BN30" s="759"/>
      <c r="BO30" s="759"/>
      <c r="BP30" s="759"/>
      <c r="BQ30" s="759"/>
      <c r="BR30" s="759"/>
      <c r="BS30" s="759"/>
      <c r="BT30" s="759"/>
      <c r="BU30" s="759"/>
      <c r="BV30" s="759"/>
      <c r="BW30" s="759"/>
      <c r="BX30" s="759"/>
      <c r="BY30" s="759"/>
      <c r="BZ30" s="759"/>
      <c r="CA30" s="759"/>
      <c r="CB30" s="759"/>
      <c r="CC30" s="759"/>
    </row>
    <row r="31" spans="1:81" s="268" customFormat="1" ht="69.75" hidden="1" customHeight="1" thickBot="1" x14ac:dyDescent="0.35">
      <c r="A31" s="1166" t="s">
        <v>690</v>
      </c>
      <c r="B31" s="1166"/>
      <c r="C31" s="1166"/>
      <c r="D31" s="833" t="str">
        <f>IFERROR((Import!L67-Import!L68)/Import!L68,"")</f>
        <v/>
      </c>
      <c r="E31" s="799" t="s">
        <v>615</v>
      </c>
      <c r="F31" s="834" t="str">
        <f>+D31</f>
        <v/>
      </c>
      <c r="G31" s="801"/>
      <c r="H31" s="855" t="s">
        <v>1023</v>
      </c>
      <c r="I31" s="874" t="s">
        <v>637</v>
      </c>
      <c r="J31" s="876"/>
      <c r="K31" s="757"/>
      <c r="P31" s="758"/>
      <c r="Q31" s="759"/>
      <c r="R31" s="759"/>
      <c r="S31" s="759"/>
      <c r="T31" s="759"/>
      <c r="U31" s="759"/>
      <c r="V31" s="759"/>
      <c r="W31" s="759"/>
      <c r="X31" s="759"/>
      <c r="Y31" s="759"/>
      <c r="Z31" s="759"/>
      <c r="AA31" s="759"/>
      <c r="AB31" s="759"/>
      <c r="AC31" s="759"/>
      <c r="AD31" s="759"/>
      <c r="AE31" s="759"/>
      <c r="AF31" s="759"/>
      <c r="AG31" s="759"/>
      <c r="AH31" s="759"/>
      <c r="AI31" s="759"/>
      <c r="AJ31" s="759"/>
      <c r="AK31" s="759"/>
      <c r="AL31" s="759"/>
      <c r="AM31" s="759"/>
      <c r="AN31" s="759"/>
      <c r="AO31" s="759"/>
      <c r="AP31" s="759"/>
      <c r="AQ31" s="759"/>
      <c r="AR31" s="759"/>
      <c r="AS31" s="759"/>
      <c r="AT31" s="759"/>
      <c r="AU31" s="759"/>
      <c r="AV31" s="759"/>
      <c r="AW31" s="759"/>
      <c r="AX31" s="759"/>
      <c r="AY31" s="759"/>
      <c r="AZ31" s="759"/>
      <c r="BA31" s="759"/>
      <c r="BB31" s="759"/>
      <c r="BC31" s="759"/>
      <c r="BD31" s="759"/>
      <c r="BE31" s="759"/>
      <c r="BF31" s="759"/>
      <c r="BG31" s="759"/>
      <c r="BH31" s="759"/>
      <c r="BI31" s="759"/>
      <c r="BJ31" s="759"/>
      <c r="BK31" s="759"/>
      <c r="BL31" s="759"/>
      <c r="BM31" s="759"/>
      <c r="BN31" s="759"/>
      <c r="BO31" s="759"/>
      <c r="BP31" s="759"/>
      <c r="BQ31" s="759"/>
      <c r="BR31" s="759"/>
      <c r="BS31" s="759"/>
      <c r="BT31" s="759"/>
      <c r="BU31" s="759"/>
      <c r="BV31" s="759"/>
      <c r="BW31" s="759"/>
      <c r="BX31" s="759"/>
      <c r="BY31" s="759"/>
      <c r="BZ31" s="759"/>
      <c r="CA31" s="759"/>
      <c r="CB31" s="759"/>
      <c r="CC31" s="759"/>
    </row>
    <row r="32" spans="1:81" s="268" customFormat="1" ht="18" hidden="1" customHeight="1" thickBot="1" x14ac:dyDescent="0.35">
      <c r="A32" s="1141"/>
      <c r="B32" s="1142"/>
      <c r="C32" s="1143"/>
      <c r="D32" s="831" t="s">
        <v>1011</v>
      </c>
      <c r="E32" s="278" t="s">
        <v>1021</v>
      </c>
      <c r="F32" s="832"/>
      <c r="G32" s="801"/>
      <c r="H32" s="832"/>
      <c r="I32" s="878"/>
      <c r="J32" s="881"/>
      <c r="K32" s="835"/>
      <c r="P32" s="758"/>
      <c r="Q32" s="759"/>
      <c r="R32" s="759"/>
      <c r="S32" s="759"/>
      <c r="T32" s="759"/>
      <c r="U32" s="759"/>
      <c r="V32" s="759"/>
      <c r="W32" s="759"/>
      <c r="X32" s="759"/>
      <c r="Y32" s="759"/>
      <c r="Z32" s="759"/>
      <c r="AA32" s="759"/>
      <c r="AB32" s="759"/>
      <c r="AC32" s="759"/>
      <c r="AD32" s="759"/>
      <c r="AE32" s="759"/>
      <c r="AF32" s="759"/>
      <c r="AG32" s="759"/>
      <c r="AH32" s="759"/>
      <c r="AI32" s="759"/>
      <c r="AJ32" s="759"/>
      <c r="AK32" s="759"/>
      <c r="AL32" s="759"/>
      <c r="AM32" s="759"/>
      <c r="AN32" s="759"/>
      <c r="AO32" s="759"/>
      <c r="AP32" s="759"/>
      <c r="AQ32" s="759"/>
      <c r="AR32" s="759"/>
      <c r="AS32" s="759"/>
      <c r="AT32" s="759"/>
      <c r="AU32" s="759"/>
      <c r="AV32" s="759"/>
      <c r="AW32" s="759"/>
      <c r="AX32" s="759"/>
      <c r="AY32" s="759"/>
      <c r="AZ32" s="759"/>
      <c r="BA32" s="759"/>
      <c r="BB32" s="759"/>
      <c r="BC32" s="759"/>
      <c r="BD32" s="759"/>
      <c r="BE32" s="759"/>
      <c r="BF32" s="759"/>
      <c r="BG32" s="759"/>
      <c r="BH32" s="759"/>
      <c r="BI32" s="759"/>
      <c r="BJ32" s="759"/>
      <c r="BK32" s="759"/>
      <c r="BL32" s="759"/>
      <c r="BM32" s="759"/>
      <c r="BN32" s="759"/>
      <c r="BO32" s="759"/>
      <c r="BP32" s="759"/>
      <c r="BQ32" s="759"/>
      <c r="BR32" s="759"/>
      <c r="BS32" s="759"/>
      <c r="BT32" s="759"/>
      <c r="BU32" s="759"/>
      <c r="BV32" s="759"/>
      <c r="BW32" s="759"/>
      <c r="BX32" s="759"/>
      <c r="BY32" s="759"/>
      <c r="BZ32" s="759"/>
      <c r="CA32" s="759"/>
      <c r="CB32" s="759"/>
      <c r="CC32" s="759"/>
    </row>
    <row r="33" spans="1:81" s="268" customFormat="1" ht="74.25" hidden="1" customHeight="1" thickBot="1" x14ac:dyDescent="0.35">
      <c r="A33" s="1166" t="s">
        <v>1024</v>
      </c>
      <c r="B33" s="1166"/>
      <c r="C33" s="1166"/>
      <c r="D33" s="829" t="b">
        <f>IF(Import!L244=20,"Increase",IF(Import!L244=21,"Decrease",IF(Import!L244=22,"No Change",IF(Import!L244=23,"N/A"))))</f>
        <v>0</v>
      </c>
      <c r="E33" s="799" t="s">
        <v>1025</v>
      </c>
      <c r="F33" s="829" t="b">
        <f>D33</f>
        <v>0</v>
      </c>
      <c r="G33" s="801"/>
      <c r="H33" s="855" t="s">
        <v>1026</v>
      </c>
      <c r="I33" s="874" t="s">
        <v>638</v>
      </c>
      <c r="J33" s="876"/>
      <c r="K33" s="836"/>
      <c r="P33" s="758"/>
      <c r="Q33" s="759"/>
      <c r="R33" s="759"/>
      <c r="S33" s="759"/>
      <c r="T33" s="759"/>
      <c r="U33" s="759"/>
      <c r="V33" s="759"/>
      <c r="W33" s="759"/>
      <c r="X33" s="759"/>
      <c r="Y33" s="759"/>
      <c r="Z33" s="759"/>
      <c r="AA33" s="759"/>
      <c r="AB33" s="759"/>
      <c r="AC33" s="759"/>
      <c r="AD33" s="759"/>
      <c r="AE33" s="759"/>
      <c r="AF33" s="759"/>
      <c r="AG33" s="759"/>
      <c r="AH33" s="759"/>
      <c r="AI33" s="759"/>
      <c r="AJ33" s="759"/>
      <c r="AK33" s="759"/>
      <c r="AL33" s="759"/>
      <c r="AM33" s="759"/>
      <c r="AN33" s="759"/>
      <c r="AO33" s="759"/>
      <c r="AP33" s="759"/>
      <c r="AQ33" s="759"/>
      <c r="AR33" s="759"/>
      <c r="AS33" s="759"/>
      <c r="AT33" s="759"/>
      <c r="AU33" s="759"/>
      <c r="AV33" s="759"/>
      <c r="AW33" s="759"/>
      <c r="AX33" s="759"/>
      <c r="AY33" s="759"/>
      <c r="AZ33" s="759"/>
      <c r="BA33" s="759"/>
      <c r="BB33" s="759"/>
      <c r="BC33" s="759"/>
      <c r="BD33" s="759"/>
      <c r="BE33" s="759"/>
      <c r="BF33" s="759"/>
      <c r="BG33" s="759"/>
      <c r="BH33" s="759"/>
      <c r="BI33" s="759"/>
      <c r="BJ33" s="759"/>
      <c r="BK33" s="759"/>
      <c r="BL33" s="759"/>
      <c r="BM33" s="759"/>
      <c r="BN33" s="759"/>
      <c r="BO33" s="759"/>
      <c r="BP33" s="759"/>
      <c r="BQ33" s="759"/>
      <c r="BR33" s="759"/>
      <c r="BS33" s="759"/>
      <c r="BT33" s="759"/>
      <c r="BU33" s="759"/>
      <c r="BV33" s="759"/>
      <c r="BW33" s="759"/>
      <c r="BX33" s="759"/>
      <c r="BY33" s="759"/>
      <c r="BZ33" s="759"/>
      <c r="CA33" s="759"/>
      <c r="CB33" s="759"/>
      <c r="CC33" s="759"/>
    </row>
    <row r="34" spans="1:81" s="268" customFormat="1" ht="18" hidden="1" customHeight="1" thickBot="1" x14ac:dyDescent="0.35">
      <c r="A34" s="1141"/>
      <c r="B34" s="1142"/>
      <c r="C34" s="1143"/>
      <c r="D34" s="831" t="s">
        <v>1011</v>
      </c>
      <c r="E34" s="278" t="s">
        <v>1021</v>
      </c>
      <c r="F34" s="832"/>
      <c r="G34" s="801"/>
      <c r="H34" s="865"/>
      <c r="I34" s="878"/>
      <c r="J34" s="881"/>
      <c r="K34" s="837"/>
      <c r="P34" s="758"/>
      <c r="Q34" s="759"/>
      <c r="R34" s="759"/>
      <c r="S34" s="759"/>
      <c r="T34" s="759"/>
      <c r="U34" s="759"/>
      <c r="V34" s="759"/>
      <c r="W34" s="759"/>
      <c r="X34" s="759"/>
      <c r="Y34" s="759"/>
      <c r="Z34" s="759"/>
      <c r="AA34" s="759"/>
      <c r="AB34" s="759"/>
      <c r="AC34" s="759"/>
      <c r="AD34" s="759"/>
      <c r="AE34" s="759"/>
      <c r="AF34" s="759"/>
      <c r="AG34" s="759"/>
      <c r="AH34" s="759"/>
      <c r="AI34" s="759"/>
      <c r="AJ34" s="759"/>
      <c r="AK34" s="759"/>
      <c r="AL34" s="759"/>
      <c r="AM34" s="759"/>
      <c r="AN34" s="759"/>
      <c r="AO34" s="759"/>
      <c r="AP34" s="759"/>
      <c r="AQ34" s="759"/>
      <c r="AR34" s="759"/>
      <c r="AS34" s="759"/>
      <c r="AT34" s="759"/>
      <c r="AU34" s="759"/>
      <c r="AV34" s="759"/>
      <c r="AW34" s="759"/>
      <c r="AX34" s="759"/>
      <c r="AY34" s="759"/>
      <c r="AZ34" s="759"/>
      <c r="BA34" s="759"/>
      <c r="BB34" s="759"/>
      <c r="BC34" s="759"/>
      <c r="BD34" s="759"/>
      <c r="BE34" s="759"/>
      <c r="BF34" s="759"/>
      <c r="BG34" s="759"/>
      <c r="BH34" s="759"/>
      <c r="BI34" s="759"/>
      <c r="BJ34" s="759"/>
      <c r="BK34" s="759"/>
      <c r="BL34" s="759"/>
      <c r="BM34" s="759"/>
      <c r="BN34" s="759"/>
      <c r="BO34" s="759"/>
      <c r="BP34" s="759"/>
      <c r="BQ34" s="759"/>
      <c r="BR34" s="759"/>
      <c r="BS34" s="759"/>
      <c r="BT34" s="759"/>
      <c r="BU34" s="759"/>
      <c r="BV34" s="759"/>
      <c r="BW34" s="759"/>
      <c r="BX34" s="759"/>
      <c r="BY34" s="759"/>
      <c r="BZ34" s="759"/>
      <c r="CA34" s="759"/>
      <c r="CB34" s="759"/>
      <c r="CC34" s="759"/>
    </row>
    <row r="35" spans="1:81" s="268" customFormat="1" ht="71.25" hidden="1" customHeight="1" thickBot="1" x14ac:dyDescent="0.35">
      <c r="A35" s="1157" t="s">
        <v>737</v>
      </c>
      <c r="B35" s="1158"/>
      <c r="C35" s="1159"/>
      <c r="D35" s="838" t="str">
        <f>IF(Import!L256=1,"Yes",IF(Import!L256=2,"No",IF(Import!L256=0,"Question required to be answered")))</f>
        <v>Question required to be answered</v>
      </c>
      <c r="E35" s="799" t="s">
        <v>642</v>
      </c>
      <c r="F35" s="839" t="str">
        <f>+D35</f>
        <v>Question required to be answered</v>
      </c>
      <c r="G35" s="801"/>
      <c r="H35" s="855" t="s">
        <v>1027</v>
      </c>
      <c r="I35" s="874" t="s">
        <v>633</v>
      </c>
      <c r="J35" s="876"/>
      <c r="K35" s="757"/>
      <c r="P35" s="758"/>
      <c r="Q35" s="759"/>
      <c r="R35" s="759"/>
      <c r="S35" s="759"/>
      <c r="T35" s="759"/>
      <c r="U35" s="759"/>
      <c r="V35" s="759"/>
      <c r="W35" s="759"/>
      <c r="X35" s="759"/>
      <c r="Y35" s="759"/>
      <c r="Z35" s="759"/>
      <c r="AA35" s="759"/>
      <c r="AB35" s="759"/>
      <c r="AC35" s="759"/>
      <c r="AD35" s="759"/>
      <c r="AE35" s="759"/>
      <c r="AF35" s="759"/>
      <c r="AG35" s="759"/>
      <c r="AH35" s="759"/>
      <c r="AI35" s="759"/>
      <c r="AJ35" s="759"/>
      <c r="AK35" s="759"/>
      <c r="AL35" s="759"/>
      <c r="AM35" s="759"/>
      <c r="AN35" s="759"/>
      <c r="AO35" s="759"/>
      <c r="AP35" s="759"/>
      <c r="AQ35" s="759"/>
      <c r="AR35" s="759"/>
      <c r="AS35" s="759"/>
      <c r="AT35" s="759"/>
      <c r="AU35" s="759"/>
      <c r="AV35" s="759"/>
      <c r="AW35" s="759"/>
      <c r="AX35" s="759"/>
      <c r="AY35" s="759"/>
      <c r="AZ35" s="759"/>
      <c r="BA35" s="759"/>
      <c r="BB35" s="759"/>
      <c r="BC35" s="759"/>
      <c r="BD35" s="759"/>
      <c r="BE35" s="759"/>
      <c r="BF35" s="759"/>
      <c r="BG35" s="759"/>
      <c r="BH35" s="759"/>
      <c r="BI35" s="759"/>
      <c r="BJ35" s="759"/>
      <c r="BK35" s="759"/>
      <c r="BL35" s="759"/>
      <c r="BM35" s="759"/>
      <c r="BN35" s="759"/>
      <c r="BO35" s="759"/>
      <c r="BP35" s="759"/>
      <c r="BQ35" s="759"/>
      <c r="BR35" s="759"/>
      <c r="BS35" s="759"/>
      <c r="BT35" s="759"/>
      <c r="BU35" s="759"/>
      <c r="BV35" s="759"/>
      <c r="BW35" s="759"/>
      <c r="BX35" s="759"/>
      <c r="BY35" s="759"/>
      <c r="BZ35" s="759"/>
      <c r="CA35" s="759"/>
      <c r="CB35" s="759"/>
      <c r="CC35" s="759"/>
    </row>
    <row r="36" spans="1:81" s="268" customFormat="1" ht="18" hidden="1" customHeight="1" thickBot="1" x14ac:dyDescent="0.35">
      <c r="A36" s="1141"/>
      <c r="B36" s="1142"/>
      <c r="C36" s="1143"/>
      <c r="D36" s="831" t="s">
        <v>1011</v>
      </c>
      <c r="E36" s="278" t="s">
        <v>1021</v>
      </c>
      <c r="F36" s="840"/>
      <c r="G36" s="801"/>
      <c r="H36" s="865"/>
      <c r="I36" s="878"/>
      <c r="J36" s="881"/>
      <c r="K36" s="757"/>
      <c r="P36" s="758"/>
      <c r="Q36" s="759"/>
      <c r="R36" s="759"/>
      <c r="S36" s="759"/>
      <c r="T36" s="759"/>
      <c r="U36" s="759"/>
      <c r="V36" s="759"/>
      <c r="W36" s="759"/>
      <c r="X36" s="759"/>
      <c r="Y36" s="759"/>
      <c r="Z36" s="759"/>
      <c r="AA36" s="759"/>
      <c r="AB36" s="759"/>
      <c r="AC36" s="759"/>
      <c r="AD36" s="759"/>
      <c r="AE36" s="759"/>
      <c r="AF36" s="759"/>
      <c r="AG36" s="759"/>
      <c r="AH36" s="759"/>
      <c r="AI36" s="759"/>
      <c r="AJ36" s="759"/>
      <c r="AK36" s="759"/>
      <c r="AL36" s="759"/>
      <c r="AM36" s="759"/>
      <c r="AN36" s="759"/>
      <c r="AO36" s="759"/>
      <c r="AP36" s="759"/>
      <c r="AQ36" s="759"/>
      <c r="AR36" s="759"/>
      <c r="AS36" s="759"/>
      <c r="AT36" s="759"/>
      <c r="AU36" s="759"/>
      <c r="AV36" s="759"/>
      <c r="AW36" s="759"/>
      <c r="AX36" s="759"/>
      <c r="AY36" s="759"/>
      <c r="AZ36" s="759"/>
      <c r="BA36" s="759"/>
      <c r="BB36" s="759"/>
      <c r="BC36" s="759"/>
      <c r="BD36" s="759"/>
      <c r="BE36" s="759"/>
      <c r="BF36" s="759"/>
      <c r="BG36" s="759"/>
      <c r="BH36" s="759"/>
      <c r="BI36" s="759"/>
      <c r="BJ36" s="759"/>
      <c r="BK36" s="759"/>
      <c r="BL36" s="759"/>
      <c r="BM36" s="759"/>
      <c r="BN36" s="759"/>
      <c r="BO36" s="759"/>
      <c r="BP36" s="759"/>
      <c r="BQ36" s="759"/>
      <c r="BR36" s="759"/>
      <c r="BS36" s="759"/>
      <c r="BT36" s="759"/>
      <c r="BU36" s="759"/>
      <c r="BV36" s="759"/>
      <c r="BW36" s="759"/>
      <c r="BX36" s="759"/>
      <c r="BY36" s="759"/>
      <c r="BZ36" s="759"/>
      <c r="CA36" s="759"/>
      <c r="CB36" s="759"/>
      <c r="CC36" s="759"/>
    </row>
    <row r="37" spans="1:81" s="268" customFormat="1" ht="81" hidden="1" customHeight="1" thickBot="1" x14ac:dyDescent="0.35">
      <c r="A37" s="1157" t="s">
        <v>691</v>
      </c>
      <c r="B37" s="1158"/>
      <c r="C37" s="1159"/>
      <c r="D37" s="833" t="str">
        <f>IF(Import!L191&gt;(Import!L155+Import!L158)*0.03,"Yes","No")</f>
        <v>No</v>
      </c>
      <c r="E37" s="841"/>
      <c r="F37" s="833" t="str">
        <f>+D37</f>
        <v>No</v>
      </c>
      <c r="G37" s="801"/>
      <c r="H37" s="779" t="s">
        <v>1028</v>
      </c>
      <c r="I37" s="874" t="s">
        <v>639</v>
      </c>
      <c r="J37" s="876"/>
      <c r="K37" s="757"/>
      <c r="P37" s="758"/>
      <c r="Q37" s="759"/>
      <c r="R37" s="759"/>
      <c r="S37" s="759"/>
      <c r="T37" s="759"/>
      <c r="U37" s="759"/>
      <c r="V37" s="759"/>
      <c r="W37" s="759"/>
      <c r="X37" s="759"/>
      <c r="Y37" s="759"/>
      <c r="Z37" s="759"/>
      <c r="AA37" s="759"/>
      <c r="AB37" s="759"/>
      <c r="AC37" s="759"/>
      <c r="AD37" s="759"/>
      <c r="AE37" s="759"/>
      <c r="AF37" s="759"/>
      <c r="AG37" s="759"/>
      <c r="AH37" s="759"/>
      <c r="AI37" s="759"/>
      <c r="AJ37" s="759"/>
      <c r="AK37" s="759"/>
      <c r="AL37" s="759"/>
      <c r="AM37" s="759"/>
      <c r="AN37" s="759"/>
      <c r="AO37" s="759"/>
      <c r="AP37" s="759"/>
      <c r="AQ37" s="759"/>
      <c r="AR37" s="759"/>
      <c r="AS37" s="759"/>
      <c r="AT37" s="759"/>
      <c r="AU37" s="759"/>
      <c r="AV37" s="759"/>
      <c r="AW37" s="759"/>
      <c r="AX37" s="759"/>
      <c r="AY37" s="759"/>
      <c r="AZ37" s="759"/>
      <c r="BA37" s="759"/>
      <c r="BB37" s="759"/>
      <c r="BC37" s="759"/>
      <c r="BD37" s="759"/>
      <c r="BE37" s="759"/>
      <c r="BF37" s="759"/>
      <c r="BG37" s="759"/>
      <c r="BH37" s="759"/>
      <c r="BI37" s="759"/>
      <c r="BJ37" s="759"/>
      <c r="BK37" s="759"/>
      <c r="BL37" s="759"/>
      <c r="BM37" s="759"/>
      <c r="BN37" s="759"/>
      <c r="BO37" s="759"/>
      <c r="BP37" s="759"/>
      <c r="BQ37" s="759"/>
      <c r="BR37" s="759"/>
      <c r="BS37" s="759"/>
      <c r="BT37" s="759"/>
      <c r="BU37" s="759"/>
      <c r="BV37" s="759"/>
      <c r="BW37" s="759"/>
      <c r="BX37" s="759"/>
      <c r="BY37" s="759"/>
      <c r="BZ37" s="759"/>
      <c r="CA37" s="759"/>
      <c r="CB37" s="759"/>
      <c r="CC37" s="759"/>
    </row>
    <row r="38" spans="1:81" s="268" customFormat="1" ht="18" hidden="1" customHeight="1" thickBot="1" x14ac:dyDescent="0.35">
      <c r="A38" s="1141"/>
      <c r="B38" s="1142"/>
      <c r="C38" s="1143"/>
      <c r="D38" s="831" t="s">
        <v>1011</v>
      </c>
      <c r="E38" s="278" t="s">
        <v>1021</v>
      </c>
      <c r="F38" s="832"/>
      <c r="G38" s="801"/>
      <c r="H38" s="832"/>
      <c r="I38" s="878"/>
      <c r="J38" s="881"/>
      <c r="K38" s="757"/>
      <c r="P38" s="758"/>
      <c r="Q38" s="759"/>
      <c r="R38" s="759"/>
      <c r="S38" s="759"/>
      <c r="T38" s="759"/>
      <c r="U38" s="759"/>
      <c r="V38" s="759"/>
      <c r="W38" s="759"/>
      <c r="X38" s="759"/>
      <c r="Y38" s="759"/>
      <c r="Z38" s="759"/>
      <c r="AA38" s="759"/>
      <c r="AB38" s="759"/>
      <c r="AC38" s="759"/>
      <c r="AD38" s="759"/>
      <c r="AE38" s="759"/>
      <c r="AF38" s="759"/>
      <c r="AG38" s="759"/>
      <c r="AH38" s="759"/>
      <c r="AI38" s="759"/>
      <c r="AJ38" s="759"/>
      <c r="AK38" s="759"/>
      <c r="AL38" s="759"/>
      <c r="AM38" s="759"/>
      <c r="AN38" s="759"/>
      <c r="AO38" s="759"/>
      <c r="AP38" s="759"/>
      <c r="AQ38" s="759"/>
      <c r="AR38" s="759"/>
      <c r="AS38" s="759"/>
      <c r="AT38" s="759"/>
      <c r="AU38" s="759"/>
      <c r="AV38" s="759"/>
      <c r="AW38" s="759"/>
      <c r="AX38" s="759"/>
      <c r="AY38" s="759"/>
      <c r="AZ38" s="759"/>
      <c r="BA38" s="759"/>
      <c r="BB38" s="759"/>
      <c r="BC38" s="759"/>
      <c r="BD38" s="759"/>
      <c r="BE38" s="759"/>
      <c r="BF38" s="759"/>
      <c r="BG38" s="759"/>
      <c r="BH38" s="759"/>
      <c r="BI38" s="759"/>
      <c r="BJ38" s="759"/>
      <c r="BK38" s="759"/>
      <c r="BL38" s="759"/>
      <c r="BM38" s="759"/>
      <c r="BN38" s="759"/>
      <c r="BO38" s="759"/>
      <c r="BP38" s="759"/>
      <c r="BQ38" s="759"/>
      <c r="BR38" s="759"/>
      <c r="BS38" s="759"/>
      <c r="BT38" s="759"/>
      <c r="BU38" s="759"/>
      <c r="BV38" s="759"/>
      <c r="BW38" s="759"/>
      <c r="BX38" s="759"/>
      <c r="BY38" s="759"/>
      <c r="BZ38" s="759"/>
      <c r="CA38" s="759"/>
      <c r="CB38" s="759"/>
      <c r="CC38" s="759"/>
    </row>
    <row r="39" spans="1:81" s="268" customFormat="1" ht="128.25" hidden="1" customHeight="1" thickBot="1" x14ac:dyDescent="0.35">
      <c r="A39" s="1180" t="s">
        <v>1029</v>
      </c>
      <c r="B39" s="1180"/>
      <c r="C39" s="1180"/>
      <c r="D39" s="799" t="str">
        <f>IFERROR(VLOOKUP(B5,#REF!,4,FALSE),"Unit is not on the Unit Assistance List at this time")</f>
        <v>Unit is not on the Unit Assistance List at this time</v>
      </c>
      <c r="E39" s="799" t="s">
        <v>993</v>
      </c>
      <c r="F39" s="799" t="str">
        <f>D39</f>
        <v>Unit is not on the Unit Assistance List at this time</v>
      </c>
      <c r="G39" s="818"/>
      <c r="H39" s="866" t="str">
        <f>IF(D39="Unit is not on the Unit Assistance List at this time","N/A-Unit is not on the Unit Assistance List.",L39)</f>
        <v>N/A-Unit is not on the Unit Assistance List.</v>
      </c>
      <c r="I39" s="879"/>
      <c r="J39" s="876"/>
      <c r="K39" s="757"/>
      <c r="L39" s="268" t="s">
        <v>760</v>
      </c>
      <c r="P39" s="758"/>
      <c r="Q39" s="759"/>
      <c r="R39" s="759"/>
      <c r="S39" s="759"/>
      <c r="T39" s="759"/>
      <c r="U39" s="759"/>
      <c r="V39" s="759"/>
      <c r="W39" s="759"/>
      <c r="X39" s="759"/>
      <c r="Y39" s="759"/>
      <c r="Z39" s="759"/>
      <c r="AA39" s="759"/>
      <c r="AB39" s="759"/>
      <c r="AC39" s="759"/>
      <c r="AD39" s="759"/>
      <c r="AE39" s="759"/>
      <c r="AF39" s="759"/>
      <c r="AG39" s="759"/>
      <c r="AH39" s="759"/>
      <c r="AI39" s="759"/>
      <c r="AJ39" s="759"/>
      <c r="AK39" s="759"/>
      <c r="AL39" s="759"/>
      <c r="AM39" s="759"/>
      <c r="AN39" s="759"/>
      <c r="AO39" s="759"/>
      <c r="AP39" s="759"/>
      <c r="AQ39" s="759"/>
      <c r="AR39" s="759"/>
      <c r="AS39" s="759"/>
      <c r="AT39" s="759"/>
      <c r="AU39" s="759"/>
      <c r="AV39" s="759"/>
      <c r="AW39" s="759"/>
      <c r="AX39" s="759"/>
      <c r="AY39" s="759"/>
      <c r="AZ39" s="759"/>
      <c r="BA39" s="759"/>
      <c r="BB39" s="759"/>
      <c r="BC39" s="759"/>
      <c r="BD39" s="759"/>
      <c r="BE39" s="759"/>
      <c r="BF39" s="759"/>
      <c r="BG39" s="759"/>
      <c r="BH39" s="759"/>
      <c r="BI39" s="759"/>
      <c r="BJ39" s="759"/>
      <c r="BK39" s="759"/>
      <c r="BL39" s="759"/>
      <c r="BM39" s="759"/>
      <c r="BN39" s="759"/>
      <c r="BO39" s="759"/>
      <c r="BP39" s="759"/>
      <c r="BQ39" s="759"/>
      <c r="BR39" s="759"/>
      <c r="BS39" s="759"/>
      <c r="BT39" s="759"/>
      <c r="BU39" s="759"/>
      <c r="BV39" s="759"/>
      <c r="BW39" s="759"/>
      <c r="BX39" s="759"/>
      <c r="BY39" s="759"/>
      <c r="BZ39" s="759"/>
      <c r="CA39" s="759"/>
      <c r="CB39" s="759"/>
      <c r="CC39" s="759"/>
    </row>
    <row r="40" spans="1:81" s="268" customFormat="1" ht="18" hidden="1" customHeight="1" thickBot="1" x14ac:dyDescent="0.35">
      <c r="A40" s="1141"/>
      <c r="B40" s="1142"/>
      <c r="C40" s="1143"/>
      <c r="D40" s="831" t="s">
        <v>1011</v>
      </c>
      <c r="E40" s="278" t="s">
        <v>1021</v>
      </c>
      <c r="F40" s="832"/>
      <c r="G40" s="801"/>
      <c r="H40" s="865"/>
      <c r="I40" s="878"/>
      <c r="J40" s="881"/>
      <c r="K40" s="757"/>
      <c r="P40" s="758"/>
      <c r="Q40" s="759"/>
      <c r="R40" s="759"/>
      <c r="S40" s="759"/>
      <c r="T40" s="759"/>
      <c r="U40" s="759"/>
      <c r="V40" s="759"/>
      <c r="W40" s="759"/>
      <c r="X40" s="759"/>
      <c r="Y40" s="759"/>
      <c r="Z40" s="759"/>
      <c r="AA40" s="759"/>
      <c r="AB40" s="759"/>
      <c r="AC40" s="759"/>
      <c r="AD40" s="759"/>
      <c r="AE40" s="759"/>
      <c r="AF40" s="759"/>
      <c r="AG40" s="759"/>
      <c r="AH40" s="759"/>
      <c r="AI40" s="759"/>
      <c r="AJ40" s="759"/>
      <c r="AK40" s="759"/>
      <c r="AL40" s="759"/>
      <c r="AM40" s="759"/>
      <c r="AN40" s="759"/>
      <c r="AO40" s="759"/>
      <c r="AP40" s="759"/>
      <c r="AQ40" s="759"/>
      <c r="AR40" s="759"/>
      <c r="AS40" s="759"/>
      <c r="AT40" s="759"/>
      <c r="AU40" s="759"/>
      <c r="AV40" s="759"/>
      <c r="AW40" s="759"/>
      <c r="AX40" s="759"/>
      <c r="AY40" s="759"/>
      <c r="AZ40" s="759"/>
      <c r="BA40" s="759"/>
      <c r="BB40" s="759"/>
      <c r="BC40" s="759"/>
      <c r="BD40" s="759"/>
      <c r="BE40" s="759"/>
      <c r="BF40" s="759"/>
      <c r="BG40" s="759"/>
      <c r="BH40" s="759"/>
      <c r="BI40" s="759"/>
      <c r="BJ40" s="759"/>
      <c r="BK40" s="759"/>
      <c r="BL40" s="759"/>
      <c r="BM40" s="759"/>
      <c r="BN40" s="759"/>
      <c r="BO40" s="759"/>
      <c r="BP40" s="759"/>
      <c r="BQ40" s="759"/>
      <c r="BR40" s="759"/>
      <c r="BS40" s="759"/>
      <c r="BT40" s="759"/>
      <c r="BU40" s="759"/>
      <c r="BV40" s="759"/>
      <c r="BW40" s="759"/>
      <c r="BX40" s="759"/>
      <c r="BY40" s="759"/>
      <c r="BZ40" s="759"/>
      <c r="CA40" s="759"/>
      <c r="CB40" s="759"/>
      <c r="CC40" s="759"/>
    </row>
    <row r="41" spans="1:81" s="268" customFormat="1" ht="59.25" hidden="1" customHeight="1" thickBot="1" x14ac:dyDescent="0.35">
      <c r="A41" s="1160" t="s">
        <v>739</v>
      </c>
      <c r="B41" s="1161"/>
      <c r="C41" s="1181"/>
      <c r="D41" s="806" t="str">
        <f>IF(Import!L257=1,"Yes",IF(Import!L257=2,"No",IF(Import!L257="0","This questions must be answered")))</f>
        <v>This questions must be answered</v>
      </c>
      <c r="E41" s="842"/>
      <c r="F41" s="806" t="str">
        <f>+D41</f>
        <v>This questions must be answered</v>
      </c>
      <c r="G41" s="801"/>
      <c r="H41" s="855" t="s">
        <v>1030</v>
      </c>
      <c r="I41" s="880" t="s">
        <v>640</v>
      </c>
      <c r="J41" s="876"/>
      <c r="K41" s="757"/>
      <c r="P41" s="758"/>
      <c r="Q41" s="759"/>
      <c r="R41" s="759"/>
      <c r="S41" s="759"/>
      <c r="T41" s="759"/>
      <c r="U41" s="759"/>
      <c r="V41" s="759"/>
      <c r="W41" s="759"/>
      <c r="X41" s="759"/>
      <c r="Y41" s="759"/>
      <c r="Z41" s="759"/>
      <c r="AA41" s="759"/>
      <c r="AB41" s="759"/>
      <c r="AC41" s="759"/>
      <c r="AD41" s="759"/>
      <c r="AE41" s="759"/>
      <c r="AF41" s="759"/>
      <c r="AG41" s="759"/>
      <c r="AH41" s="759"/>
      <c r="AI41" s="759"/>
      <c r="AJ41" s="759"/>
      <c r="AK41" s="759"/>
      <c r="AL41" s="759"/>
      <c r="AM41" s="759"/>
      <c r="AN41" s="759"/>
      <c r="AO41" s="759"/>
      <c r="AP41" s="759"/>
      <c r="AQ41" s="759"/>
      <c r="AR41" s="759"/>
      <c r="AS41" s="759"/>
      <c r="AT41" s="759"/>
      <c r="AU41" s="759"/>
      <c r="AV41" s="759"/>
      <c r="AW41" s="759"/>
      <c r="AX41" s="759"/>
      <c r="AY41" s="759"/>
      <c r="AZ41" s="759"/>
      <c r="BA41" s="759"/>
      <c r="BB41" s="759"/>
      <c r="BC41" s="759"/>
      <c r="BD41" s="759"/>
      <c r="BE41" s="759"/>
      <c r="BF41" s="759"/>
      <c r="BG41" s="759"/>
      <c r="BH41" s="759"/>
      <c r="BI41" s="759"/>
      <c r="BJ41" s="759"/>
      <c r="BK41" s="759"/>
      <c r="BL41" s="759"/>
      <c r="BM41" s="759"/>
      <c r="BN41" s="759"/>
      <c r="BO41" s="759"/>
      <c r="BP41" s="759"/>
      <c r="BQ41" s="759"/>
      <c r="BR41" s="759"/>
      <c r="BS41" s="759"/>
      <c r="BT41" s="759"/>
      <c r="BU41" s="759"/>
      <c r="BV41" s="759"/>
      <c r="BW41" s="759"/>
      <c r="BX41" s="759"/>
      <c r="BY41" s="759"/>
      <c r="BZ41" s="759"/>
      <c r="CA41" s="759"/>
      <c r="CB41" s="759"/>
      <c r="CC41" s="759"/>
    </row>
    <row r="42" spans="1:81" s="268" customFormat="1" ht="18" hidden="1" customHeight="1" thickBot="1" x14ac:dyDescent="0.35">
      <c r="A42" s="1160" t="s">
        <v>1020</v>
      </c>
      <c r="B42" s="1161"/>
      <c r="C42" s="1165"/>
      <c r="D42" s="831" t="s">
        <v>1011</v>
      </c>
      <c r="E42" s="278" t="s">
        <v>1021</v>
      </c>
      <c r="F42" s="840"/>
      <c r="G42" s="801"/>
      <c r="H42" s="832"/>
      <c r="I42" s="874"/>
      <c r="J42" s="881"/>
      <c r="K42" s="757"/>
      <c r="P42" s="758"/>
      <c r="Q42" s="759"/>
      <c r="R42" s="759"/>
      <c r="S42" s="759"/>
      <c r="T42" s="759"/>
      <c r="U42" s="759"/>
      <c r="V42" s="759"/>
      <c r="W42" s="759"/>
      <c r="X42" s="759"/>
      <c r="Y42" s="759"/>
      <c r="Z42" s="759"/>
      <c r="AA42" s="759"/>
      <c r="AB42" s="759"/>
      <c r="AC42" s="759"/>
      <c r="AD42" s="759"/>
      <c r="AE42" s="759"/>
      <c r="AF42" s="759"/>
      <c r="AG42" s="759"/>
      <c r="AH42" s="759"/>
      <c r="AI42" s="759"/>
      <c r="AJ42" s="759"/>
      <c r="AK42" s="759"/>
      <c r="AL42" s="759"/>
      <c r="AM42" s="759"/>
      <c r="AN42" s="759"/>
      <c r="AO42" s="759"/>
      <c r="AP42" s="759"/>
      <c r="AQ42" s="759"/>
      <c r="AR42" s="759"/>
      <c r="AS42" s="759"/>
      <c r="AT42" s="759"/>
      <c r="AU42" s="759"/>
      <c r="AV42" s="759"/>
      <c r="AW42" s="759"/>
      <c r="AX42" s="759"/>
      <c r="AY42" s="759"/>
      <c r="AZ42" s="759"/>
      <c r="BA42" s="759"/>
      <c r="BB42" s="759"/>
      <c r="BC42" s="759"/>
      <c r="BD42" s="759"/>
      <c r="BE42" s="759"/>
      <c r="BF42" s="759"/>
      <c r="BG42" s="759"/>
      <c r="BH42" s="759"/>
      <c r="BI42" s="759"/>
      <c r="BJ42" s="759"/>
      <c r="BK42" s="759"/>
      <c r="BL42" s="759"/>
      <c r="BM42" s="759"/>
      <c r="BN42" s="759"/>
      <c r="BO42" s="759"/>
      <c r="BP42" s="759"/>
      <c r="BQ42" s="759"/>
      <c r="BR42" s="759"/>
      <c r="BS42" s="759"/>
      <c r="BT42" s="759"/>
      <c r="BU42" s="759"/>
      <c r="BV42" s="759"/>
      <c r="BW42" s="759"/>
      <c r="BX42" s="759"/>
      <c r="BY42" s="759"/>
      <c r="BZ42" s="759"/>
      <c r="CA42" s="759"/>
      <c r="CB42" s="759"/>
      <c r="CC42" s="759"/>
    </row>
    <row r="43" spans="1:81" s="268" customFormat="1" ht="57.75" hidden="1" customHeight="1" thickBot="1" x14ac:dyDescent="0.35">
      <c r="A43" s="1157" t="s">
        <v>756</v>
      </c>
      <c r="B43" s="1158"/>
      <c r="C43" s="1159"/>
      <c r="D43" s="806" t="str">
        <f>IF(Import!L253=1,"Yes",IF(Import!L253=2,"No",IF(Import!L253=3,"N/A",IF(Import!L253=0,"This questions must be answered"))))</f>
        <v>This questions must be answered</v>
      </c>
      <c r="E43" s="842"/>
      <c r="F43" s="829" t="str">
        <f>D43</f>
        <v>This questions must be answered</v>
      </c>
      <c r="G43" s="801"/>
      <c r="H43" s="855" t="s">
        <v>1031</v>
      </c>
      <c r="I43" s="874" t="s">
        <v>757</v>
      </c>
      <c r="J43" s="876"/>
      <c r="K43" s="757"/>
      <c r="P43" s="758"/>
      <c r="Q43" s="759"/>
      <c r="R43" s="759"/>
      <c r="S43" s="759"/>
      <c r="T43" s="759"/>
      <c r="U43" s="759"/>
      <c r="V43" s="759"/>
      <c r="W43" s="759"/>
      <c r="X43" s="759"/>
      <c r="Y43" s="759"/>
      <c r="Z43" s="759"/>
      <c r="AA43" s="759"/>
      <c r="AB43" s="759"/>
      <c r="AC43" s="759"/>
      <c r="AD43" s="759"/>
      <c r="AE43" s="759"/>
      <c r="AF43" s="759"/>
      <c r="AG43" s="759"/>
      <c r="AH43" s="759"/>
      <c r="AI43" s="759"/>
      <c r="AJ43" s="759"/>
      <c r="AK43" s="759"/>
      <c r="AL43" s="759"/>
      <c r="AM43" s="759"/>
      <c r="AN43" s="759"/>
      <c r="AO43" s="759"/>
      <c r="AP43" s="759"/>
      <c r="AQ43" s="759"/>
      <c r="AR43" s="759"/>
      <c r="AS43" s="759"/>
      <c r="AT43" s="759"/>
      <c r="AU43" s="759"/>
      <c r="AV43" s="759"/>
      <c r="AW43" s="759"/>
      <c r="AX43" s="759"/>
      <c r="AY43" s="759"/>
      <c r="AZ43" s="759"/>
      <c r="BA43" s="759"/>
      <c r="BB43" s="759"/>
      <c r="BC43" s="759"/>
      <c r="BD43" s="759"/>
      <c r="BE43" s="759"/>
      <c r="BF43" s="759"/>
      <c r="BG43" s="759"/>
      <c r="BH43" s="759"/>
      <c r="BI43" s="759"/>
      <c r="BJ43" s="759"/>
      <c r="BK43" s="759"/>
      <c r="BL43" s="759"/>
      <c r="BM43" s="759"/>
      <c r="BN43" s="759"/>
      <c r="BO43" s="759"/>
      <c r="BP43" s="759"/>
      <c r="BQ43" s="759"/>
      <c r="BR43" s="759"/>
      <c r="BS43" s="759"/>
      <c r="BT43" s="759"/>
      <c r="BU43" s="759"/>
      <c r="BV43" s="759"/>
      <c r="BW43" s="759"/>
      <c r="BX43" s="759"/>
      <c r="BY43" s="759"/>
      <c r="BZ43" s="759"/>
      <c r="CA43" s="759"/>
      <c r="CB43" s="759"/>
      <c r="CC43" s="759"/>
    </row>
    <row r="44" spans="1:81" s="268" customFormat="1" ht="18" hidden="1" customHeight="1" thickBot="1" x14ac:dyDescent="0.35">
      <c r="A44" s="1141"/>
      <c r="B44" s="1142"/>
      <c r="C44" s="1143"/>
      <c r="D44" s="831" t="s">
        <v>1011</v>
      </c>
      <c r="E44" s="278" t="s">
        <v>1021</v>
      </c>
      <c r="F44" s="832"/>
      <c r="G44" s="801"/>
      <c r="H44" s="865"/>
      <c r="I44" s="874"/>
      <c r="J44" s="881"/>
      <c r="K44" s="757"/>
      <c r="P44" s="758"/>
      <c r="Q44" s="759"/>
      <c r="R44" s="759"/>
      <c r="S44" s="759"/>
      <c r="T44" s="759"/>
      <c r="U44" s="759"/>
      <c r="V44" s="759"/>
      <c r="W44" s="759"/>
      <c r="X44" s="759"/>
      <c r="Y44" s="759"/>
      <c r="Z44" s="759"/>
      <c r="AA44" s="759"/>
      <c r="AB44" s="759"/>
      <c r="AC44" s="759"/>
      <c r="AD44" s="759"/>
      <c r="AE44" s="759"/>
      <c r="AF44" s="759"/>
      <c r="AG44" s="759"/>
      <c r="AH44" s="759"/>
      <c r="AI44" s="759"/>
      <c r="AJ44" s="759"/>
      <c r="AK44" s="759"/>
      <c r="AL44" s="759"/>
      <c r="AM44" s="759"/>
      <c r="AN44" s="759"/>
      <c r="AO44" s="759"/>
      <c r="AP44" s="759"/>
      <c r="AQ44" s="759"/>
      <c r="AR44" s="759"/>
      <c r="AS44" s="759"/>
      <c r="AT44" s="759"/>
      <c r="AU44" s="759"/>
      <c r="AV44" s="759"/>
      <c r="AW44" s="759"/>
      <c r="AX44" s="759"/>
      <c r="AY44" s="759"/>
      <c r="AZ44" s="759"/>
      <c r="BA44" s="759"/>
      <c r="BB44" s="759"/>
      <c r="BC44" s="759"/>
      <c r="BD44" s="759"/>
      <c r="BE44" s="759"/>
      <c r="BF44" s="759"/>
      <c r="BG44" s="759"/>
      <c r="BH44" s="759"/>
      <c r="BI44" s="759"/>
      <c r="BJ44" s="759"/>
      <c r="BK44" s="759"/>
      <c r="BL44" s="759"/>
      <c r="BM44" s="759"/>
      <c r="BN44" s="759"/>
      <c r="BO44" s="759"/>
      <c r="BP44" s="759"/>
      <c r="BQ44" s="759"/>
      <c r="BR44" s="759"/>
      <c r="BS44" s="759"/>
      <c r="BT44" s="759"/>
      <c r="BU44" s="759"/>
      <c r="BV44" s="759"/>
      <c r="BW44" s="759"/>
      <c r="BX44" s="759"/>
      <c r="BY44" s="759"/>
      <c r="BZ44" s="759"/>
      <c r="CA44" s="759"/>
      <c r="CB44" s="759"/>
      <c r="CC44" s="759"/>
    </row>
    <row r="45" spans="1:81" s="268" customFormat="1" ht="67.5" hidden="1" customHeight="1" thickBot="1" x14ac:dyDescent="0.35">
      <c r="A45" s="1157" t="s">
        <v>994</v>
      </c>
      <c r="B45" s="1158"/>
      <c r="C45" s="1159"/>
      <c r="D45" s="829" t="b">
        <f>IF(Import!L193=1,"Yes",IF(Import!L193=2,"No",IF(Import!L193=3,"N/A")))</f>
        <v>0</v>
      </c>
      <c r="E45" s="842"/>
      <c r="F45" s="829" t="b">
        <f>+D45</f>
        <v>0</v>
      </c>
      <c r="G45" s="801"/>
      <c r="H45" s="855" t="s">
        <v>1032</v>
      </c>
      <c r="I45" s="874" t="s">
        <v>670</v>
      </c>
      <c r="J45" s="876"/>
      <c r="K45" s="757"/>
      <c r="P45" s="758"/>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59"/>
      <c r="AO45" s="759"/>
      <c r="AP45" s="759"/>
      <c r="AQ45" s="759"/>
      <c r="AR45" s="759"/>
      <c r="AS45" s="759"/>
      <c r="AT45" s="759"/>
      <c r="AU45" s="759"/>
      <c r="AV45" s="759"/>
      <c r="AW45" s="759"/>
      <c r="AX45" s="759"/>
      <c r="AY45" s="759"/>
      <c r="AZ45" s="759"/>
      <c r="BA45" s="759"/>
      <c r="BB45" s="759"/>
      <c r="BC45" s="759"/>
      <c r="BD45" s="759"/>
      <c r="BE45" s="759"/>
      <c r="BF45" s="759"/>
      <c r="BG45" s="759"/>
      <c r="BH45" s="759"/>
      <c r="BI45" s="759"/>
      <c r="BJ45" s="759"/>
      <c r="BK45" s="759"/>
      <c r="BL45" s="759"/>
      <c r="BM45" s="759"/>
      <c r="BN45" s="759"/>
      <c r="BO45" s="759"/>
      <c r="BP45" s="759"/>
      <c r="BQ45" s="759"/>
      <c r="BR45" s="759"/>
      <c r="BS45" s="759"/>
      <c r="BT45" s="759"/>
      <c r="BU45" s="759"/>
      <c r="BV45" s="759"/>
      <c r="BW45" s="759"/>
      <c r="BX45" s="759"/>
      <c r="BY45" s="759"/>
      <c r="BZ45" s="759"/>
      <c r="CA45" s="759"/>
      <c r="CB45" s="759"/>
      <c r="CC45" s="759"/>
    </row>
    <row r="46" spans="1:81" s="268" customFormat="1" ht="18" hidden="1" customHeight="1" thickBot="1" x14ac:dyDescent="0.35">
      <c r="A46" s="1141"/>
      <c r="B46" s="1142"/>
      <c r="C46" s="1143"/>
      <c r="D46" s="831" t="s">
        <v>1011</v>
      </c>
      <c r="E46" s="278" t="s">
        <v>1021</v>
      </c>
      <c r="F46" s="832"/>
      <c r="G46" s="801"/>
      <c r="H46" s="865"/>
      <c r="I46" s="878"/>
      <c r="J46" s="881"/>
      <c r="K46" s="757"/>
      <c r="P46" s="758"/>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759"/>
      <c r="BA46" s="759"/>
      <c r="BB46" s="759"/>
      <c r="BC46" s="759"/>
      <c r="BD46" s="759"/>
      <c r="BE46" s="759"/>
      <c r="BF46" s="759"/>
      <c r="BG46" s="759"/>
      <c r="BH46" s="759"/>
      <c r="BI46" s="759"/>
      <c r="BJ46" s="759"/>
      <c r="BK46" s="759"/>
      <c r="BL46" s="759"/>
      <c r="BM46" s="759"/>
      <c r="BN46" s="759"/>
      <c r="BO46" s="759"/>
      <c r="BP46" s="759"/>
      <c r="BQ46" s="759"/>
      <c r="BR46" s="759"/>
      <c r="BS46" s="759"/>
      <c r="BT46" s="759"/>
      <c r="BU46" s="759"/>
      <c r="BV46" s="759"/>
      <c r="BW46" s="759"/>
      <c r="BX46" s="759"/>
      <c r="BY46" s="759"/>
      <c r="BZ46" s="759"/>
      <c r="CA46" s="759"/>
      <c r="CB46" s="759"/>
      <c r="CC46" s="759"/>
    </row>
    <row r="47" spans="1:81" s="268" customFormat="1" ht="68.25" hidden="1" customHeight="1" thickBot="1" x14ac:dyDescent="0.35">
      <c r="A47" s="1157" t="s">
        <v>614</v>
      </c>
      <c r="B47" s="1158"/>
      <c r="C47" s="1159"/>
      <c r="D47" s="843" t="e">
        <f>+M47+N47+O47+Import!L250+Import!L251+Import!L254</f>
        <v>#VALUE!</v>
      </c>
      <c r="E47" s="842"/>
      <c r="F47" s="844"/>
      <c r="G47" s="801"/>
      <c r="H47" s="855" t="s">
        <v>1033</v>
      </c>
      <c r="I47" s="874" t="s">
        <v>634</v>
      </c>
      <c r="J47" s="876"/>
      <c r="K47" s="757"/>
      <c r="L47" s="784">
        <f>IF(Import!L247=1,1,0)</f>
        <v>0</v>
      </c>
      <c r="M47" s="784">
        <f>IF(Import!L248=1,1,0)</f>
        <v>0</v>
      </c>
      <c r="N47" s="784">
        <f>IF(Import!L249=1,1,0)</f>
        <v>0</v>
      </c>
      <c r="P47" s="758"/>
      <c r="Q47" s="759"/>
      <c r="R47" s="759"/>
      <c r="S47" s="759"/>
      <c r="T47" s="759"/>
      <c r="U47" s="759"/>
      <c r="V47" s="759"/>
      <c r="W47" s="759"/>
      <c r="X47" s="759"/>
      <c r="Y47" s="759"/>
      <c r="Z47" s="759"/>
      <c r="AA47" s="759"/>
      <c r="AB47" s="759"/>
      <c r="AC47" s="759"/>
      <c r="AD47" s="759"/>
      <c r="AE47" s="759"/>
      <c r="AF47" s="759"/>
      <c r="AG47" s="759"/>
      <c r="AH47" s="759"/>
      <c r="AI47" s="759"/>
      <c r="AJ47" s="759"/>
      <c r="AK47" s="759"/>
      <c r="AL47" s="759"/>
      <c r="AM47" s="759"/>
      <c r="AN47" s="759"/>
      <c r="AO47" s="759"/>
      <c r="AP47" s="759"/>
      <c r="AQ47" s="759"/>
      <c r="AR47" s="759"/>
      <c r="AS47" s="759"/>
      <c r="AT47" s="759"/>
      <c r="AU47" s="759"/>
      <c r="AV47" s="759"/>
      <c r="AW47" s="759"/>
      <c r="AX47" s="759"/>
      <c r="AY47" s="759"/>
      <c r="AZ47" s="759"/>
      <c r="BA47" s="759"/>
      <c r="BB47" s="759"/>
      <c r="BC47" s="759"/>
      <c r="BD47" s="759"/>
      <c r="BE47" s="759"/>
      <c r="BF47" s="759"/>
      <c r="BG47" s="759"/>
      <c r="BH47" s="759"/>
      <c r="BI47" s="759"/>
      <c r="BJ47" s="759"/>
      <c r="BK47" s="759"/>
      <c r="BL47" s="759"/>
      <c r="BM47" s="759"/>
      <c r="BN47" s="759"/>
      <c r="BO47" s="759"/>
      <c r="BP47" s="759"/>
      <c r="BQ47" s="759"/>
      <c r="BR47" s="759"/>
      <c r="BS47" s="759"/>
      <c r="BT47" s="759"/>
      <c r="BU47" s="759"/>
      <c r="BV47" s="759"/>
      <c r="BW47" s="759"/>
      <c r="BX47" s="759"/>
      <c r="BY47" s="759"/>
      <c r="BZ47" s="759"/>
      <c r="CA47" s="759"/>
      <c r="CB47" s="759"/>
      <c r="CC47" s="759"/>
    </row>
    <row r="48" spans="1:81" s="268" customFormat="1" ht="18" hidden="1" customHeight="1" thickBot="1" x14ac:dyDescent="0.35">
      <c r="A48" s="1141"/>
      <c r="B48" s="1142"/>
      <c r="C48" s="1143"/>
      <c r="D48" s="831" t="s">
        <v>1011</v>
      </c>
      <c r="E48" s="278" t="s">
        <v>1021</v>
      </c>
      <c r="F48" s="832"/>
      <c r="G48" s="801"/>
      <c r="H48" s="865"/>
      <c r="I48" s="874"/>
      <c r="J48" s="881"/>
      <c r="K48" s="757"/>
      <c r="P48" s="758"/>
      <c r="Q48" s="759"/>
      <c r="R48" s="759"/>
      <c r="S48" s="759"/>
      <c r="T48" s="759"/>
      <c r="U48" s="759"/>
      <c r="V48" s="759"/>
      <c r="W48" s="759"/>
      <c r="X48" s="759"/>
      <c r="Y48" s="759"/>
      <c r="Z48" s="759"/>
      <c r="AA48" s="759"/>
      <c r="AB48" s="759"/>
      <c r="AC48" s="759"/>
      <c r="AD48" s="759"/>
      <c r="AE48" s="759"/>
      <c r="AF48" s="759"/>
      <c r="AG48" s="759"/>
      <c r="AH48" s="759"/>
      <c r="AI48" s="759"/>
      <c r="AJ48" s="759"/>
      <c r="AK48" s="759"/>
      <c r="AL48" s="759"/>
      <c r="AM48" s="759"/>
      <c r="AN48" s="759"/>
      <c r="AO48" s="759"/>
      <c r="AP48" s="759"/>
      <c r="AQ48" s="759"/>
      <c r="AR48" s="759"/>
      <c r="AS48" s="759"/>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59"/>
      <c r="BQ48" s="759"/>
      <c r="BR48" s="759"/>
      <c r="BS48" s="759"/>
      <c r="BT48" s="759"/>
      <c r="BU48" s="759"/>
      <c r="BV48" s="759"/>
      <c r="BW48" s="759"/>
      <c r="BX48" s="759"/>
      <c r="BY48" s="759"/>
      <c r="BZ48" s="759"/>
      <c r="CA48" s="759"/>
      <c r="CB48" s="759"/>
      <c r="CC48" s="759"/>
    </row>
    <row r="49" spans="1:81" s="268" customFormat="1" ht="114.75" hidden="1" customHeight="1" thickBot="1" x14ac:dyDescent="0.35">
      <c r="A49" s="1166" t="s">
        <v>641</v>
      </c>
      <c r="B49" s="1166"/>
      <c r="C49" s="1166"/>
      <c r="D49" s="839" t="e">
        <f>IF(#REF!="No, unit exceeds limit by:","Yes","No")</f>
        <v>#REF!</v>
      </c>
      <c r="E49" s="842"/>
      <c r="F49" s="839" t="e">
        <f>+D49</f>
        <v>#REF!</v>
      </c>
      <c r="G49" s="801"/>
      <c r="H49" s="855" t="s">
        <v>1034</v>
      </c>
      <c r="I49" s="874" t="s">
        <v>678</v>
      </c>
      <c r="J49" s="876"/>
      <c r="K49" s="757"/>
      <c r="P49" s="758"/>
      <c r="Q49" s="759"/>
      <c r="R49" s="759"/>
      <c r="S49" s="759"/>
      <c r="T49" s="759"/>
      <c r="U49" s="759"/>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row>
    <row r="50" spans="1:81" s="268" customFormat="1" ht="18" hidden="1" customHeight="1" thickBot="1" x14ac:dyDescent="0.35">
      <c r="A50" s="1177"/>
      <c r="B50" s="1178"/>
      <c r="C50" s="1179"/>
      <c r="D50" s="831" t="s">
        <v>1011</v>
      </c>
      <c r="E50" s="278" t="s">
        <v>1021</v>
      </c>
      <c r="F50" s="840"/>
      <c r="G50" s="801"/>
      <c r="H50" s="832"/>
      <c r="I50" s="878"/>
      <c r="J50" s="881"/>
      <c r="K50" s="757"/>
      <c r="P50" s="758"/>
      <c r="Q50" s="759"/>
      <c r="R50" s="759"/>
      <c r="S50" s="759"/>
      <c r="T50" s="759"/>
      <c r="U50" s="759"/>
      <c r="V50" s="759"/>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row>
    <row r="51" spans="1:81" s="268" customFormat="1" ht="114.75" hidden="1" customHeight="1" thickBot="1" x14ac:dyDescent="0.4">
      <c r="A51" s="1166" t="s">
        <v>677</v>
      </c>
      <c r="B51" s="1166"/>
      <c r="C51" s="1166"/>
      <c r="D51" s="829">
        <f>+Import!L254</f>
        <v>0</v>
      </c>
      <c r="E51" s="842"/>
      <c r="F51" s="844">
        <f>D51</f>
        <v>0</v>
      </c>
      <c r="G51" s="801"/>
      <c r="H51" s="855" t="s">
        <v>1036</v>
      </c>
      <c r="I51" s="892" t="s">
        <v>1035</v>
      </c>
      <c r="J51" s="876"/>
      <c r="K51" s="757"/>
      <c r="M51" s="845" t="e">
        <f>#REF!</f>
        <v>#REF!</v>
      </c>
      <c r="P51" s="758"/>
      <c r="Q51" s="759"/>
      <c r="R51" s="759"/>
      <c r="S51" s="759"/>
      <c r="T51" s="759"/>
      <c r="U51" s="759"/>
      <c r="V51" s="759"/>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row>
    <row r="52" spans="1:81" s="760" customFormat="1" hidden="1" x14ac:dyDescent="0.3">
      <c r="A52" s="846"/>
      <c r="B52" s="846"/>
      <c r="C52" s="846"/>
      <c r="D52" s="846"/>
      <c r="E52" s="846"/>
      <c r="F52" s="846"/>
      <c r="G52" s="847"/>
      <c r="H52" s="846"/>
      <c r="I52" s="851"/>
      <c r="J52" s="851"/>
      <c r="L52" s="268"/>
      <c r="M52" s="268"/>
      <c r="N52" s="268"/>
      <c r="O52" s="268"/>
      <c r="P52" s="758"/>
      <c r="Q52" s="759"/>
      <c r="R52" s="759"/>
      <c r="S52" s="759"/>
      <c r="T52" s="759"/>
      <c r="U52" s="759"/>
      <c r="V52" s="759"/>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row>
    <row r="53" spans="1:81" hidden="1" x14ac:dyDescent="0.3"/>
    <row r="65" spans="1:9" ht="147" customHeight="1" x14ac:dyDescent="0.85">
      <c r="A65" s="1167" t="s">
        <v>1071</v>
      </c>
      <c r="B65" s="1168"/>
      <c r="C65" s="1168"/>
      <c r="D65" s="1168"/>
      <c r="E65" s="1168"/>
      <c r="F65" s="1168"/>
      <c r="G65" s="1168"/>
      <c r="H65" s="1168"/>
      <c r="I65" s="1169"/>
    </row>
  </sheetData>
  <sheetProtection algorithmName="SHA-512" hashValue="w6ndhMb3ngWWsrz/6elo71O/uRWOCABsJ5NfluVSedBvnG+/3RDVhMCxKbPZfvgzT9wsxAnDJjKGKRnTe2h50Q==" saltValue="BlT/pvn50Ue8HkDcIQl7Jw==" spinCount="100000" sheet="1" objects="1" scenarios="1"/>
  <mergeCells count="45">
    <mergeCell ref="A65:I65"/>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24" priority="27" operator="lessThan">
      <formula>1</formula>
    </cfRule>
  </conditionalFormatting>
  <conditionalFormatting sqref="F16">
    <cfRule type="cellIs" dxfId="23" priority="26" operator="lessThan">
      <formula>0</formula>
    </cfRule>
  </conditionalFormatting>
  <conditionalFormatting sqref="F17">
    <cfRule type="cellIs" dxfId="22" priority="25" operator="lessThan">
      <formula>0.16</formula>
    </cfRule>
  </conditionalFormatting>
  <conditionalFormatting sqref="F21">
    <cfRule type="cellIs" dxfId="21" priority="24" operator="lessThan">
      <formula>1</formula>
    </cfRule>
  </conditionalFormatting>
  <conditionalFormatting sqref="F23">
    <cfRule type="cellIs" dxfId="20" priority="23" operator="lessThan">
      <formula>0</formula>
    </cfRule>
  </conditionalFormatting>
  <conditionalFormatting sqref="F24">
    <cfRule type="cellIs" dxfId="19" priority="22" operator="lessThan">
      <formula>0.16</formula>
    </cfRule>
  </conditionalFormatting>
  <conditionalFormatting sqref="F29">
    <cfRule type="cellIs" dxfId="18" priority="21" operator="equal">
      <formula>"No"</formula>
    </cfRule>
  </conditionalFormatting>
  <conditionalFormatting sqref="F31">
    <cfRule type="cellIs" dxfId="17" priority="20" operator="lessThan">
      <formula>-0.03</formula>
    </cfRule>
  </conditionalFormatting>
  <conditionalFormatting sqref="F37">
    <cfRule type="cellIs" dxfId="16" priority="12" operator="equal">
      <formula>"Yes"</formula>
    </cfRule>
  </conditionalFormatting>
  <conditionalFormatting sqref="F39">
    <cfRule type="cellIs" dxfId="15" priority="19" operator="equal">
      <formula>"Yes"</formula>
    </cfRule>
  </conditionalFormatting>
  <conditionalFormatting sqref="F41">
    <cfRule type="cellIs" dxfId="14" priority="18" operator="equal">
      <formula>"Yes"</formula>
    </cfRule>
  </conditionalFormatting>
  <conditionalFormatting sqref="F43">
    <cfRule type="cellIs" dxfId="13" priority="17" operator="equal">
      <formula>"Yes"</formula>
    </cfRule>
  </conditionalFormatting>
  <conditionalFormatting sqref="F35">
    <cfRule type="cellIs" dxfId="12" priority="16" operator="equal">
      <formula>"No"</formula>
    </cfRule>
  </conditionalFormatting>
  <conditionalFormatting sqref="F50">
    <cfRule type="cellIs" dxfId="11" priority="14" operator="equal">
      <formula>"Yes"</formula>
    </cfRule>
  </conditionalFormatting>
  <conditionalFormatting sqref="F49">
    <cfRule type="cellIs" dxfId="10" priority="13" operator="equal">
      <formula>"Yes"</formula>
    </cfRule>
  </conditionalFormatting>
  <conditionalFormatting sqref="F45">
    <cfRule type="cellIs" dxfId="9" priority="11" operator="equal">
      <formula>"No"</formula>
    </cfRule>
  </conditionalFormatting>
  <conditionalFormatting sqref="F33">
    <cfRule type="cellIs" dxfId="8" priority="10" operator="equal">
      <formula>"Decrease"</formula>
    </cfRule>
  </conditionalFormatting>
  <conditionalFormatting sqref="F47">
    <cfRule type="expression" dxfId="7" priority="9">
      <formula>$D$47&gt;0</formula>
    </cfRule>
  </conditionalFormatting>
  <conditionalFormatting sqref="F51">
    <cfRule type="expression" dxfId="6" priority="8">
      <formula>M51&gt;0</formula>
    </cfRule>
  </conditionalFormatting>
  <conditionalFormatting sqref="F9">
    <cfRule type="cellIs" dxfId="5" priority="2" operator="lessThan">
      <formula>$L$9&lt;0%</formula>
    </cfRule>
    <cfRule type="expression" dxfId="4" priority="117">
      <formula>"$L$9&lt;0%"</formula>
    </cfRule>
  </conditionalFormatting>
  <conditionalFormatting sqref="F26">
    <cfRule type="cellIs" dxfId="3" priority="7" operator="lessThan">
      <formula>1</formula>
    </cfRule>
  </conditionalFormatting>
  <conditionalFormatting sqref="F10">
    <cfRule type="expression" dxfId="2" priority="6">
      <formula>$L$10&lt;0%</formula>
    </cfRule>
  </conditionalFormatting>
  <conditionalFormatting sqref="F11">
    <cfRule type="expression" dxfId="1" priority="4">
      <formula>$L$11&lt;8%</formula>
    </cfRule>
  </conditionalFormatting>
  <conditionalFormatting sqref="F12">
    <cfRule type="cellIs" dxfId="0" priority="1" operator="lessThan">
      <formula>0</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extLst>
    <ext xmlns:x14="http://schemas.microsoft.com/office/spreadsheetml/2009/9/main" uri="{78C0D931-6437-407d-A8EE-F0AAD7539E65}">
      <x14:conditionalFormattings>
        <x14:conditionalFormatting xmlns:xm="http://schemas.microsoft.com/office/excel/2006/main">
          <x14:cfRule type="iconSet" priority="29" id="{EB8AC468-E013-4496-8E39-B59C2B47B4BD}">
            <x14:iconSet iconSet="3Symbols2" custom="1">
              <x14:cfvo type="percent">
                <xm:f>0</xm:f>
              </x14:cfvo>
              <x14:cfvo type="percent">
                <xm:f>0</xm:f>
              </x14:cfvo>
              <x14:cfvo type="percent">
                <xm:f>34</xm:f>
              </x14:cfvo>
              <x14:cfIcon iconSet="NoIcons" iconId="0"/>
              <x14:cfIcon iconSet="3Symbols2" iconId="0"/>
              <x14:cfIcon iconSet="3Symbols2" iconId="2"/>
            </x14:iconSet>
          </x14:cfRule>
          <xm:sqref>P8:P9</xm:sqref>
        </x14:conditionalFormatting>
        <x14:conditionalFormatting xmlns:xm="http://schemas.microsoft.com/office/excel/2006/main">
          <x14:cfRule type="iconSet" priority="5" id="{C037EB33-F080-4012-B202-3E2DBCBD6EF5}">
            <x14:iconSet iconSet="3Symbols2" custom="1">
              <x14:cfvo type="percent">
                <xm:f>0</xm:f>
              </x14:cfvo>
              <x14:cfvo type="percent">
                <xm:f>0</xm:f>
              </x14:cfvo>
              <x14:cfvo type="percent">
                <xm:f>34</xm:f>
              </x14:cfvo>
              <x14:cfIcon iconSet="NoIcons" iconId="0"/>
              <x14:cfIcon iconSet="3Symbols2" iconId="0"/>
              <x14:cfIcon iconSet="3Symbols2" iconId="2"/>
            </x14:iconSet>
          </x14:cfRule>
          <xm:sqref>P10</xm:sqref>
        </x14:conditionalFormatting>
        <x14:conditionalFormatting xmlns:xm="http://schemas.microsoft.com/office/excel/2006/main">
          <x14:cfRule type="iconSet" priority="3" id="{83BC780B-F2F4-4977-A706-E84D55E3CA9C}">
            <x14:iconSet iconSet="3Symbols2" custom="1">
              <x14:cfvo type="percent">
                <xm:f>0</xm:f>
              </x14:cfvo>
              <x14:cfvo type="percent">
                <xm:f>0</xm:f>
              </x14:cfvo>
              <x14:cfvo type="percent">
                <xm:f>34</xm:f>
              </x14:cfvo>
              <x14:cfIcon iconSet="NoIcons" iconId="0"/>
              <x14:cfIcon iconSet="3Symbols2" iconId="0"/>
              <x14:cfIcon iconSet="3Symbols2" iconId="2"/>
            </x14:iconSet>
          </x14:cfRule>
          <xm:sqref>P11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12" sqref="A12"/>
    </sheetView>
  </sheetViews>
  <sheetFormatPr defaultColWidth="9.109375" defaultRowHeight="14.4" x14ac:dyDescent="0.3"/>
  <cols>
    <col min="1" max="1" width="9.109375" style="282"/>
    <col min="2" max="2" width="10.44140625" style="282" bestFit="1" customWidth="1"/>
    <col min="3" max="3" width="29.88671875" style="282" customWidth="1"/>
    <col min="4" max="4" width="40.5546875" style="282" customWidth="1"/>
    <col min="5" max="5" width="3.6640625" style="282" customWidth="1"/>
    <col min="6" max="6" width="13.44140625" style="282" customWidth="1"/>
    <col min="7" max="7" width="3.5546875" style="282" customWidth="1"/>
    <col min="8" max="8" width="14.109375" style="282" customWidth="1"/>
    <col min="9" max="16384" width="9.109375" style="282"/>
  </cols>
  <sheetData>
    <row r="2" spans="1:8" ht="54.75" customHeight="1" x14ac:dyDescent="0.3">
      <c r="A2" s="1185" t="s">
        <v>112</v>
      </c>
      <c r="B2" s="1185"/>
      <c r="C2" s="1185"/>
      <c r="D2" s="1185"/>
      <c r="E2" s="1185"/>
      <c r="F2" s="378"/>
      <c r="G2" s="378"/>
      <c r="H2" s="379"/>
    </row>
    <row r="4" spans="1:8" ht="15.6" x14ac:dyDescent="0.3">
      <c r="A4" s="379"/>
      <c r="B4" s="380" t="str">
        <f>'Unit Data from Audit Worksheet'!D2</f>
        <v>Select Unit Name from Drop Down List</v>
      </c>
      <c r="C4" s="381"/>
      <c r="D4" s="19"/>
      <c r="E4" s="20"/>
      <c r="F4" s="382">
        <f>'Unit Data from Audit Worksheet'!F5</f>
        <v>2021</v>
      </c>
      <c r="G4" s="379"/>
      <c r="H4" s="382">
        <f>'Unit Data from Audit Worksheet'!F5</f>
        <v>2021</v>
      </c>
    </row>
    <row r="5" spans="1:8" ht="41.4" x14ac:dyDescent="0.4">
      <c r="A5" s="383"/>
      <c r="B5" s="384" t="s">
        <v>72</v>
      </c>
      <c r="C5" s="383"/>
      <c r="D5" s="383"/>
      <c r="E5" s="383"/>
      <c r="F5" s="382" t="s">
        <v>73</v>
      </c>
      <c r="G5" s="383"/>
      <c r="H5" s="385" t="s">
        <v>74</v>
      </c>
    </row>
    <row r="6" spans="1:8" x14ac:dyDescent="0.3">
      <c r="A6" s="379"/>
      <c r="B6" s="386" t="s">
        <v>75</v>
      </c>
      <c r="C6" s="379"/>
      <c r="D6" s="387"/>
      <c r="E6" s="387"/>
      <c r="F6" s="387"/>
      <c r="G6" s="387"/>
      <c r="H6" s="387"/>
    </row>
    <row r="7" spans="1:8" x14ac:dyDescent="0.3">
      <c r="A7" s="379"/>
      <c r="B7" s="387" t="s">
        <v>76</v>
      </c>
      <c r="C7" s="379"/>
      <c r="D7" s="387"/>
      <c r="E7" s="387" t="s">
        <v>31</v>
      </c>
      <c r="F7" s="388">
        <f>Import!L52</f>
        <v>0</v>
      </c>
      <c r="G7" s="389"/>
      <c r="H7" s="388">
        <f>F7</f>
        <v>0</v>
      </c>
    </row>
    <row r="8" spans="1:8" ht="44.25" customHeight="1" x14ac:dyDescent="0.3">
      <c r="A8" s="379"/>
      <c r="B8" s="1182" t="s">
        <v>77</v>
      </c>
      <c r="C8" s="1182"/>
      <c r="D8" s="1182"/>
      <c r="E8" s="387" t="s">
        <v>31</v>
      </c>
      <c r="F8" s="390">
        <f>Import!L53</f>
        <v>0</v>
      </c>
      <c r="G8" s="391"/>
      <c r="H8" s="391"/>
    </row>
    <row r="9" spans="1:8" x14ac:dyDescent="0.3">
      <c r="A9" s="379"/>
      <c r="B9" s="379"/>
      <c r="C9" s="387" t="s">
        <v>181</v>
      </c>
      <c r="D9" s="379"/>
      <c r="E9" s="387" t="s">
        <v>31</v>
      </c>
      <c r="F9" s="392">
        <f>Import!L57</f>
        <v>0</v>
      </c>
      <c r="G9" s="391"/>
      <c r="H9" s="377">
        <f>F9</f>
        <v>0</v>
      </c>
    </row>
    <row r="10" spans="1:8" x14ac:dyDescent="0.3">
      <c r="A10" s="379"/>
      <c r="B10" s="379"/>
      <c r="C10" s="387" t="s">
        <v>78</v>
      </c>
      <c r="D10" s="379"/>
      <c r="E10" s="387" t="s">
        <v>31</v>
      </c>
      <c r="F10" s="377">
        <f>Import!L230</f>
        <v>0</v>
      </c>
      <c r="G10" s="391"/>
      <c r="H10" s="377">
        <f>F10</f>
        <v>0</v>
      </c>
    </row>
    <row r="11" spans="1:8" x14ac:dyDescent="0.3">
      <c r="A11" s="379"/>
      <c r="B11" s="379"/>
      <c r="C11" s="387" t="s">
        <v>79</v>
      </c>
      <c r="D11" s="379"/>
      <c r="E11" s="387" t="s">
        <v>31</v>
      </c>
      <c r="F11" s="393">
        <f>Import!L58</f>
        <v>0</v>
      </c>
      <c r="G11" s="394"/>
      <c r="H11" s="393">
        <f>F11</f>
        <v>0</v>
      </c>
    </row>
    <row r="12" spans="1:8" x14ac:dyDescent="0.3">
      <c r="A12" s="379"/>
      <c r="B12" s="21" t="s">
        <v>80</v>
      </c>
      <c r="C12" s="395" t="s">
        <v>81</v>
      </c>
      <c r="D12" s="396"/>
      <c r="E12" s="397" t="s">
        <v>31</v>
      </c>
      <c r="F12" s="398">
        <f>F7+F8-SUM(F9:F11)</f>
        <v>0</v>
      </c>
      <c r="G12" s="399"/>
      <c r="H12" s="398">
        <f>H7+H8-SUM(H9:H11)</f>
        <v>0</v>
      </c>
    </row>
    <row r="13" spans="1:8" x14ac:dyDescent="0.3">
      <c r="A13" s="379"/>
      <c r="B13" s="379"/>
      <c r="C13" s="387"/>
      <c r="D13" s="387"/>
      <c r="E13" s="387" t="s">
        <v>31</v>
      </c>
      <c r="F13" s="387"/>
      <c r="G13" s="387"/>
      <c r="H13" s="387"/>
    </row>
    <row r="14" spans="1:8" x14ac:dyDescent="0.3">
      <c r="A14" s="379"/>
      <c r="B14" s="387" t="s">
        <v>82</v>
      </c>
      <c r="C14" s="379"/>
      <c r="D14" s="387"/>
      <c r="E14" s="387" t="s">
        <v>31</v>
      </c>
      <c r="F14" s="400">
        <f>Import!L65</f>
        <v>0</v>
      </c>
      <c r="G14" s="387"/>
      <c r="H14" s="387"/>
    </row>
    <row r="15" spans="1:8" x14ac:dyDescent="0.3">
      <c r="A15" s="379"/>
      <c r="B15" s="387" t="s">
        <v>83</v>
      </c>
      <c r="C15" s="379"/>
      <c r="D15" s="387"/>
      <c r="E15" s="387" t="s">
        <v>31</v>
      </c>
      <c r="F15" s="401">
        <f>F14-F12</f>
        <v>0</v>
      </c>
      <c r="G15" s="387"/>
      <c r="H15" s="387"/>
    </row>
    <row r="16" spans="1:8" x14ac:dyDescent="0.3">
      <c r="A16" s="379"/>
      <c r="B16" s="402" t="s">
        <v>84</v>
      </c>
      <c r="C16" s="379"/>
      <c r="D16" s="387"/>
      <c r="E16" s="387"/>
      <c r="F16" s="387"/>
      <c r="G16" s="387"/>
      <c r="H16" s="387"/>
    </row>
    <row r="17" spans="2:8" x14ac:dyDescent="0.3">
      <c r="B17" s="403" t="s">
        <v>85</v>
      </c>
      <c r="C17" s="387" t="s">
        <v>86</v>
      </c>
      <c r="D17" s="379"/>
      <c r="E17" s="387" t="s">
        <v>31</v>
      </c>
      <c r="F17" s="404">
        <f>Import!L61</f>
        <v>0</v>
      </c>
      <c r="G17" s="387"/>
      <c r="H17" s="387"/>
    </row>
    <row r="18" spans="2:8" ht="15" thickBot="1" x14ac:dyDescent="0.35">
      <c r="B18" s="21" t="s">
        <v>80</v>
      </c>
      <c r="C18" s="395" t="s">
        <v>87</v>
      </c>
      <c r="D18" s="396"/>
      <c r="E18" s="397" t="s">
        <v>31</v>
      </c>
      <c r="F18" s="405">
        <f>(F15-SUM(F17:F17))</f>
        <v>0</v>
      </c>
      <c r="G18" s="387"/>
      <c r="H18" s="387"/>
    </row>
    <row r="19" spans="2:8" ht="15" thickTop="1" x14ac:dyDescent="0.3">
      <c r="B19" s="379"/>
      <c r="C19" s="387"/>
      <c r="D19" s="387"/>
      <c r="E19" s="387"/>
      <c r="F19" s="387"/>
      <c r="G19" s="387"/>
      <c r="H19" s="387"/>
    </row>
    <row r="20" spans="2:8" ht="15" thickBot="1" x14ac:dyDescent="0.35">
      <c r="B20" s="387" t="s">
        <v>88</v>
      </c>
      <c r="C20" s="379"/>
      <c r="D20" s="387"/>
      <c r="E20" s="387" t="s">
        <v>31</v>
      </c>
      <c r="F20" s="406">
        <f>Import!L60</f>
        <v>0</v>
      </c>
      <c r="G20" s="387"/>
      <c r="H20" s="387"/>
    </row>
    <row r="21" spans="2:8" ht="15.6" thickTop="1" thickBot="1" x14ac:dyDescent="0.35">
      <c r="B21" s="379"/>
      <c r="C21" s="40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379"/>
      <c r="E21" s="387" t="s">
        <v>31</v>
      </c>
      <c r="F21" s="408">
        <f>ABS(F18-F20)</f>
        <v>0</v>
      </c>
      <c r="G21" s="387"/>
      <c r="H21" s="387"/>
    </row>
    <row r="22" spans="2:8" ht="50.25" customHeight="1" thickTop="1" x14ac:dyDescent="0.3">
      <c r="B22" s="379"/>
      <c r="C22" s="1183" t="str">
        <f>IF(F18&gt;F20,"Since Restricted-Stabilization by State Statute was understated, verfiy that the unit did not appropriate fund balance in excess of legal amount available in row 12 above.","")</f>
        <v/>
      </c>
      <c r="D22" s="1183"/>
      <c r="E22" s="1183"/>
      <c r="F22" s="1183"/>
      <c r="G22" s="387"/>
      <c r="H22" s="387"/>
    </row>
    <row r="23" spans="2:8" x14ac:dyDescent="0.3">
      <c r="B23" s="379"/>
      <c r="C23" s="1184" t="s">
        <v>89</v>
      </c>
      <c r="D23" s="387"/>
      <c r="E23" s="387"/>
      <c r="F23" s="387"/>
      <c r="G23" s="387"/>
      <c r="H23" s="409" t="s">
        <v>90</v>
      </c>
    </row>
    <row r="24" spans="2:8" x14ac:dyDescent="0.3">
      <c r="B24" s="379"/>
      <c r="C24" s="1184"/>
      <c r="D24" s="387"/>
      <c r="E24" s="387"/>
      <c r="F24" s="382" t="s">
        <v>91</v>
      </c>
      <c r="G24" s="387"/>
      <c r="H24" s="382" t="s">
        <v>99</v>
      </c>
    </row>
    <row r="25" spans="2:8" x14ac:dyDescent="0.3">
      <c r="B25" s="379"/>
      <c r="C25" s="386" t="s">
        <v>92</v>
      </c>
      <c r="D25" s="387"/>
      <c r="E25" s="387"/>
      <c r="F25" s="387"/>
      <c r="G25" s="387"/>
      <c r="H25" s="387"/>
    </row>
    <row r="26" spans="2:8" ht="25.2" customHeight="1" x14ac:dyDescent="0.3">
      <c r="B26" s="379"/>
      <c r="C26" s="387" t="s">
        <v>93</v>
      </c>
      <c r="D26" s="387"/>
      <c r="E26" s="387" t="s">
        <v>31</v>
      </c>
      <c r="F26" s="388">
        <f>Import!L72</f>
        <v>0</v>
      </c>
      <c r="G26" s="389"/>
      <c r="H26" s="410">
        <f>F26</f>
        <v>0</v>
      </c>
    </row>
    <row r="27" spans="2:8" x14ac:dyDescent="0.3">
      <c r="B27" s="379"/>
      <c r="C27" s="403" t="s">
        <v>94</v>
      </c>
      <c r="D27" s="387"/>
      <c r="E27" s="387"/>
      <c r="F27" s="387"/>
      <c r="G27" s="387"/>
      <c r="H27" s="387"/>
    </row>
    <row r="28" spans="2:8" x14ac:dyDescent="0.3">
      <c r="B28" s="379"/>
      <c r="C28" s="387" t="s">
        <v>95</v>
      </c>
      <c r="D28" s="379"/>
      <c r="E28" s="387" t="s">
        <v>31</v>
      </c>
      <c r="F28" s="411">
        <f>Import!L74</f>
        <v>0</v>
      </c>
      <c r="G28" s="391"/>
      <c r="H28" s="412">
        <f>F28</f>
        <v>0</v>
      </c>
    </row>
    <row r="29" spans="2:8" x14ac:dyDescent="0.3">
      <c r="B29" s="379"/>
      <c r="C29" s="387" t="s">
        <v>96</v>
      </c>
      <c r="D29" s="379"/>
      <c r="E29" s="387" t="s">
        <v>31</v>
      </c>
      <c r="F29" s="413">
        <f>Import!L75+Import!L76</f>
        <v>0</v>
      </c>
      <c r="G29" s="391"/>
      <c r="H29" s="414">
        <f>F29</f>
        <v>0</v>
      </c>
    </row>
    <row r="30" spans="2:8" ht="15" thickBot="1" x14ac:dyDescent="0.35">
      <c r="B30" s="379"/>
      <c r="C30" s="387" t="s">
        <v>97</v>
      </c>
      <c r="D30" s="387"/>
      <c r="E30" s="387" t="s">
        <v>31</v>
      </c>
      <c r="F30" s="415">
        <f>SUM(F26:F28)-F29</f>
        <v>0</v>
      </c>
      <c r="G30" s="389"/>
      <c r="H30" s="415">
        <f>SUM(H26:H28)-H29</f>
        <v>0</v>
      </c>
    </row>
    <row r="31" spans="2:8" ht="15" thickTop="1" x14ac:dyDescent="0.3">
      <c r="B31" s="379"/>
      <c r="C31" s="387"/>
      <c r="D31" s="387"/>
      <c r="E31" s="387"/>
      <c r="F31" s="387"/>
      <c r="G31" s="387"/>
      <c r="H31" s="387"/>
    </row>
    <row r="32" spans="2:8" ht="15" thickBot="1" x14ac:dyDescent="0.35">
      <c r="B32" s="21" t="s">
        <v>80</v>
      </c>
      <c r="C32" s="407" t="s">
        <v>98</v>
      </c>
      <c r="D32" s="21"/>
      <c r="E32" s="407" t="s">
        <v>31</v>
      </c>
      <c r="F32" s="416" t="e">
        <f>F12/F30</f>
        <v>#DIV/0!</v>
      </c>
      <c r="G32" s="387"/>
      <c r="H32" s="416" t="e">
        <f>H12/H30</f>
        <v>#DIV/0!</v>
      </c>
    </row>
    <row r="33" spans="1:8" ht="15" thickTop="1" x14ac:dyDescent="0.3">
      <c r="C33" s="387"/>
      <c r="D33" s="387"/>
      <c r="E33" s="387"/>
      <c r="F33" s="387"/>
      <c r="G33" s="387"/>
      <c r="H33" s="387"/>
    </row>
    <row r="34" spans="1:8" ht="15.6" x14ac:dyDescent="0.3">
      <c r="A34" s="23"/>
      <c r="C34" s="22"/>
    </row>
    <row r="36" spans="1:8" x14ac:dyDescent="0.3">
      <c r="F36" s="283"/>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I943"/>
  <sheetViews>
    <sheetView zoomScaleNormal="100" workbookViewId="0"/>
  </sheetViews>
  <sheetFormatPr defaultColWidth="9.109375" defaultRowHeight="14.4" x14ac:dyDescent="0.3"/>
  <cols>
    <col min="1" max="1" width="17" style="99" bestFit="1" customWidth="1"/>
    <col min="2" max="2" width="11.88671875" style="295" customWidth="1"/>
    <col min="3" max="3" width="8.33203125" style="99" customWidth="1"/>
    <col min="4" max="4" width="31.109375" style="99" customWidth="1"/>
    <col min="5" max="5" width="14.44140625" style="99" bestFit="1" customWidth="1"/>
    <col min="6" max="13" width="19.6640625" style="99" bestFit="1" customWidth="1"/>
    <col min="14" max="14" width="20.5546875" style="99" bestFit="1" customWidth="1"/>
    <col min="15" max="44" width="19.6640625" style="99" bestFit="1" customWidth="1"/>
    <col min="45" max="45" width="20.5546875" style="99" bestFit="1" customWidth="1"/>
    <col min="46" max="50" width="19.6640625" style="99" bestFit="1" customWidth="1"/>
    <col min="51" max="51" width="23.6640625" style="99" bestFit="1" customWidth="1"/>
    <col min="52" max="57" width="19.6640625" style="99" bestFit="1" customWidth="1"/>
    <col min="58" max="58" width="21.5546875" style="99" bestFit="1" customWidth="1"/>
    <col min="59" max="62" width="19.6640625" style="99" bestFit="1" customWidth="1"/>
    <col min="63" max="63" width="9.88671875" style="99" bestFit="1" customWidth="1"/>
    <col min="64" max="65" width="15.5546875" style="99" bestFit="1" customWidth="1"/>
    <col min="66" max="66" width="13.44140625" style="99" bestFit="1"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73" width="14.6640625" style="99" bestFit="1" customWidth="1"/>
    <col min="74" max="74" width="15.5546875" style="99" bestFit="1" customWidth="1"/>
    <col min="75" max="75" width="14.44140625" style="99" bestFit="1" customWidth="1"/>
    <col min="76" max="76" width="15.5546875" style="99" bestFit="1" customWidth="1"/>
    <col min="77" max="78" width="13.44140625" style="99" bestFit="1" customWidth="1"/>
    <col min="79" max="79" width="15.5546875" style="99" bestFit="1" customWidth="1"/>
    <col min="80" max="80" width="13.44140625" style="99" bestFit="1" customWidth="1"/>
    <col min="81" max="16384" width="9.109375" style="99"/>
  </cols>
  <sheetData>
    <row r="1" spans="1:87" s="371" customFormat="1" ht="55.8" x14ac:dyDescent="0.3">
      <c r="A1" s="949" t="s">
        <v>1159</v>
      </c>
      <c r="B1" s="1009" t="s">
        <v>1160</v>
      </c>
      <c r="C1" s="963" t="s">
        <v>1045</v>
      </c>
      <c r="D1" s="947"/>
      <c r="E1" s="947"/>
      <c r="F1" s="957" t="s">
        <v>1073</v>
      </c>
      <c r="G1" s="957" t="s">
        <v>1074</v>
      </c>
      <c r="H1" s="957" t="s">
        <v>1075</v>
      </c>
      <c r="I1" s="957" t="s">
        <v>1076</v>
      </c>
      <c r="J1" s="957" t="s">
        <v>1077</v>
      </c>
      <c r="K1" s="957" t="s">
        <v>1078</v>
      </c>
      <c r="L1" s="957" t="s">
        <v>1079</v>
      </c>
      <c r="M1" s="957" t="s">
        <v>1080</v>
      </c>
      <c r="N1" s="957" t="s">
        <v>1081</v>
      </c>
      <c r="O1" s="957" t="s">
        <v>1082</v>
      </c>
      <c r="P1" s="957" t="s">
        <v>1083</v>
      </c>
      <c r="Q1" s="957" t="s">
        <v>1084</v>
      </c>
      <c r="R1" s="957" t="s">
        <v>1085</v>
      </c>
      <c r="S1" s="957" t="s">
        <v>1086</v>
      </c>
      <c r="T1" s="957" t="s">
        <v>1087</v>
      </c>
      <c r="U1" s="957" t="s">
        <v>1088</v>
      </c>
      <c r="V1" s="957" t="s">
        <v>1089</v>
      </c>
      <c r="W1" s="957" t="s">
        <v>1090</v>
      </c>
      <c r="X1" s="957" t="s">
        <v>1091</v>
      </c>
      <c r="Y1" s="957" t="s">
        <v>1092</v>
      </c>
      <c r="Z1" s="957" t="s">
        <v>1093</v>
      </c>
      <c r="AA1" s="957" t="s">
        <v>1094</v>
      </c>
      <c r="AB1" s="957" t="s">
        <v>1095</v>
      </c>
      <c r="AC1" s="957" t="s">
        <v>1096</v>
      </c>
      <c r="AD1" s="957" t="s">
        <v>1097</v>
      </c>
      <c r="AE1" s="957" t="s">
        <v>1098</v>
      </c>
      <c r="AF1" s="957" t="s">
        <v>1099</v>
      </c>
      <c r="AG1" s="957" t="s">
        <v>1100</v>
      </c>
      <c r="AH1" s="957" t="s">
        <v>1101</v>
      </c>
      <c r="AI1" s="957" t="s">
        <v>1102</v>
      </c>
      <c r="AJ1" s="957" t="s">
        <v>1103</v>
      </c>
      <c r="AK1" s="957" t="s">
        <v>1104</v>
      </c>
      <c r="AL1" s="957" t="s">
        <v>1105</v>
      </c>
      <c r="AM1" s="957" t="s">
        <v>1106</v>
      </c>
      <c r="AN1" s="957" t="s">
        <v>1107</v>
      </c>
      <c r="AO1" s="957" t="s">
        <v>1108</v>
      </c>
      <c r="AP1" s="957" t="s">
        <v>1109</v>
      </c>
      <c r="AQ1" s="957" t="s">
        <v>1110</v>
      </c>
      <c r="AR1" s="957" t="s">
        <v>1111</v>
      </c>
      <c r="AS1" s="957" t="s">
        <v>1112</v>
      </c>
      <c r="AT1" s="957" t="s">
        <v>1113</v>
      </c>
      <c r="AU1" s="957" t="s">
        <v>1114</v>
      </c>
      <c r="AV1" s="957" t="s">
        <v>1115</v>
      </c>
      <c r="AW1" s="957" t="s">
        <v>1116</v>
      </c>
      <c r="AX1" s="957" t="s">
        <v>1117</v>
      </c>
      <c r="AY1" s="957" t="s">
        <v>1118</v>
      </c>
      <c r="AZ1" s="957" t="s">
        <v>1119</v>
      </c>
      <c r="BA1" s="957" t="s">
        <v>1120</v>
      </c>
      <c r="BB1" s="957" t="s">
        <v>1121</v>
      </c>
      <c r="BC1" s="957" t="s">
        <v>1122</v>
      </c>
      <c r="BD1" s="957" t="s">
        <v>1123</v>
      </c>
      <c r="BE1" s="957" t="s">
        <v>1124</v>
      </c>
      <c r="BF1" s="957" t="s">
        <v>1125</v>
      </c>
      <c r="BG1" s="957" t="s">
        <v>1126</v>
      </c>
      <c r="BH1" s="957" t="s">
        <v>1127</v>
      </c>
      <c r="BI1" s="957" t="s">
        <v>1128</v>
      </c>
      <c r="BJ1" s="957" t="s">
        <v>1129</v>
      </c>
      <c r="BK1" s="947"/>
      <c r="BL1" s="947"/>
      <c r="BM1" s="947"/>
      <c r="BN1" s="947"/>
      <c r="BO1" s="947"/>
      <c r="BP1" s="947"/>
      <c r="BQ1" s="947"/>
      <c r="BR1" s="947"/>
      <c r="BS1" s="947"/>
      <c r="BT1" s="947"/>
      <c r="BU1" s="947"/>
      <c r="BV1" s="947"/>
      <c r="BW1" s="947"/>
      <c r="BX1" s="947"/>
      <c r="BY1" s="947"/>
      <c r="BZ1" s="947"/>
      <c r="CA1" s="947"/>
      <c r="CB1" s="947"/>
      <c r="CC1" s="947"/>
      <c r="CD1" s="947"/>
      <c r="CE1" s="947"/>
      <c r="CF1" s="947"/>
      <c r="CG1" s="947"/>
      <c r="CH1" s="947"/>
      <c r="CI1" s="947"/>
    </row>
    <row r="2" spans="1:87" s="371" customFormat="1" x14ac:dyDescent="0.3">
      <c r="A2" s="997"/>
      <c r="B2" s="947"/>
      <c r="C2" s="997"/>
      <c r="D2" s="997"/>
      <c r="E2" s="997"/>
      <c r="F2" s="996">
        <v>52821</v>
      </c>
      <c r="G2" s="995">
        <v>52823</v>
      </c>
      <c r="H2" s="995">
        <v>52824</v>
      </c>
      <c r="I2" s="995">
        <v>52825</v>
      </c>
      <c r="J2" s="995">
        <v>52826</v>
      </c>
      <c r="K2" s="995">
        <v>52827</v>
      </c>
      <c r="L2" s="996">
        <v>52828</v>
      </c>
      <c r="M2" s="997">
        <v>52829</v>
      </c>
      <c r="N2" s="994">
        <v>52830</v>
      </c>
      <c r="O2" s="993">
        <v>52831</v>
      </c>
      <c r="P2" s="994">
        <v>52832</v>
      </c>
      <c r="Q2" s="994">
        <v>52833</v>
      </c>
      <c r="R2" s="994">
        <v>52834</v>
      </c>
      <c r="S2" s="994">
        <v>52835</v>
      </c>
      <c r="T2" s="994">
        <v>524017</v>
      </c>
      <c r="U2" s="994">
        <v>52994</v>
      </c>
      <c r="V2" s="994">
        <v>52836</v>
      </c>
      <c r="W2" s="994">
        <v>52837</v>
      </c>
      <c r="X2" s="994">
        <v>52838</v>
      </c>
      <c r="Y2" s="994">
        <v>52839</v>
      </c>
      <c r="Z2" s="994">
        <v>52840</v>
      </c>
      <c r="AA2" s="994">
        <v>52841</v>
      </c>
      <c r="AB2" s="994">
        <v>52842</v>
      </c>
      <c r="AC2" s="994">
        <v>52843</v>
      </c>
      <c r="AD2" s="992">
        <v>52844</v>
      </c>
      <c r="AE2" s="992">
        <v>52845</v>
      </c>
      <c r="AF2" s="992">
        <v>52846</v>
      </c>
      <c r="AG2" s="992">
        <v>52847</v>
      </c>
      <c r="AH2" s="992">
        <v>52848</v>
      </c>
      <c r="AI2" s="992">
        <v>52849</v>
      </c>
      <c r="AJ2" s="992">
        <v>52850</v>
      </c>
      <c r="AK2" s="992">
        <v>52851</v>
      </c>
      <c r="AL2" s="992">
        <v>52995</v>
      </c>
      <c r="AM2" s="992">
        <v>52852</v>
      </c>
      <c r="AN2" s="992">
        <v>52853</v>
      </c>
      <c r="AO2" s="992">
        <v>52854</v>
      </c>
      <c r="AP2" s="992">
        <v>52856</v>
      </c>
      <c r="AQ2" s="992">
        <v>52857</v>
      </c>
      <c r="AR2" s="992">
        <v>52858</v>
      </c>
      <c r="AS2" s="992">
        <v>52859</v>
      </c>
      <c r="AT2" s="992">
        <v>52860</v>
      </c>
      <c r="AU2" s="992">
        <v>52861</v>
      </c>
      <c r="AV2" s="992">
        <v>52862</v>
      </c>
      <c r="AW2" s="992">
        <v>52863</v>
      </c>
      <c r="AX2" s="992">
        <v>52864</v>
      </c>
      <c r="AY2" s="992">
        <v>52865</v>
      </c>
      <c r="AZ2" s="992">
        <v>52866</v>
      </c>
      <c r="BA2" s="992">
        <v>52867</v>
      </c>
      <c r="BB2" s="992">
        <v>52868</v>
      </c>
      <c r="BC2" s="992">
        <v>52869</v>
      </c>
      <c r="BD2" s="992">
        <v>52870</v>
      </c>
      <c r="BE2" s="992">
        <v>52871</v>
      </c>
      <c r="BF2" s="992">
        <v>52872</v>
      </c>
      <c r="BG2" s="992">
        <v>52873</v>
      </c>
      <c r="BH2" s="992">
        <v>52996</v>
      </c>
      <c r="BI2" s="992">
        <v>52874</v>
      </c>
      <c r="BJ2" s="992">
        <v>52875</v>
      </c>
      <c r="BK2" s="997"/>
      <c r="BL2" s="997"/>
      <c r="BM2" s="997"/>
      <c r="BN2" s="997"/>
      <c r="BO2" s="997"/>
      <c r="BP2" s="997"/>
      <c r="BQ2" s="997"/>
      <c r="BR2" s="997"/>
      <c r="BS2" s="997"/>
      <c r="BT2" s="997"/>
      <c r="BU2" s="997"/>
      <c r="BV2" s="997"/>
      <c r="BW2" s="997"/>
      <c r="BX2" s="997"/>
      <c r="BY2" s="997"/>
      <c r="BZ2" s="997"/>
      <c r="CA2" s="997"/>
      <c r="CB2" s="997"/>
      <c r="CC2" s="997"/>
      <c r="CD2" s="997"/>
      <c r="CE2" s="997"/>
      <c r="CF2" s="997"/>
      <c r="CG2" s="997"/>
      <c r="CH2" s="997"/>
      <c r="CI2" s="997"/>
    </row>
    <row r="3" spans="1:87" s="371" customFormat="1" x14ac:dyDescent="0.3">
      <c r="A3" s="949">
        <v>4</v>
      </c>
      <c r="B3" s="1017">
        <v>4</v>
      </c>
      <c r="C3" s="948">
        <v>4</v>
      </c>
      <c r="D3" s="998" t="s">
        <v>373</v>
      </c>
      <c r="E3" s="998"/>
      <c r="F3" s="965">
        <v>161116</v>
      </c>
      <c r="G3" s="966">
        <v>2044163</v>
      </c>
      <c r="H3" s="966">
        <v>299179</v>
      </c>
      <c r="I3" s="966">
        <v>190285</v>
      </c>
      <c r="J3" s="966">
        <v>1793273</v>
      </c>
      <c r="K3" s="966">
        <v>132963</v>
      </c>
      <c r="L3" s="967">
        <v>188553</v>
      </c>
      <c r="M3" s="968">
        <v>566475</v>
      </c>
      <c r="N3" s="968">
        <v>303369</v>
      </c>
      <c r="O3" s="969">
        <v>151221</v>
      </c>
      <c r="P3" s="969">
        <v>123412</v>
      </c>
      <c r="Q3" s="969">
        <v>1013858</v>
      </c>
      <c r="R3" s="969">
        <v>238584</v>
      </c>
      <c r="S3" s="969">
        <v>66054</v>
      </c>
      <c r="T3" s="969">
        <v>0</v>
      </c>
      <c r="U3" s="969">
        <v>3083485</v>
      </c>
      <c r="V3" s="969">
        <v>8305801</v>
      </c>
      <c r="W3" s="969">
        <v>298727</v>
      </c>
      <c r="X3" s="969">
        <v>231303</v>
      </c>
      <c r="Y3" s="969">
        <v>1137770</v>
      </c>
      <c r="Z3" s="969">
        <v>1975217</v>
      </c>
      <c r="AA3" s="969">
        <v>13529</v>
      </c>
      <c r="AB3" s="969">
        <v>341536</v>
      </c>
      <c r="AC3" s="969">
        <v>27607</v>
      </c>
      <c r="AD3" s="968">
        <v>222972</v>
      </c>
      <c r="AE3" s="968">
        <v>1041919</v>
      </c>
      <c r="AF3" s="968">
        <v>160925</v>
      </c>
      <c r="AG3" s="968">
        <v>640887</v>
      </c>
      <c r="AH3" s="968">
        <v>535249</v>
      </c>
      <c r="AI3" s="968">
        <v>145855</v>
      </c>
      <c r="AJ3" s="968">
        <v>4593825</v>
      </c>
      <c r="AK3" s="968">
        <v>2039662</v>
      </c>
      <c r="AL3" s="968">
        <v>1766237</v>
      </c>
      <c r="AM3" s="968">
        <v>1167295</v>
      </c>
      <c r="AN3" s="968">
        <v>412764</v>
      </c>
      <c r="AO3" s="968">
        <v>1837199</v>
      </c>
      <c r="AP3" s="968">
        <v>226208</v>
      </c>
      <c r="AQ3" s="968">
        <v>302854</v>
      </c>
      <c r="AR3" s="968">
        <v>494430</v>
      </c>
      <c r="AS3" s="968">
        <v>1903</v>
      </c>
      <c r="AT3" s="968">
        <v>660840</v>
      </c>
      <c r="AU3" s="968">
        <v>249956</v>
      </c>
      <c r="AV3" s="968">
        <v>10882</v>
      </c>
      <c r="AW3" s="968">
        <v>4400101</v>
      </c>
      <c r="AX3" s="968">
        <v>253641</v>
      </c>
      <c r="AY3" s="968">
        <v>20492017</v>
      </c>
      <c r="AZ3" s="968">
        <v>94790</v>
      </c>
      <c r="BA3" s="968">
        <v>36034</v>
      </c>
      <c r="BB3" s="968">
        <v>446637</v>
      </c>
      <c r="BC3" s="968">
        <v>6587775</v>
      </c>
      <c r="BD3" s="968">
        <v>93993</v>
      </c>
      <c r="BE3" s="968">
        <v>79664</v>
      </c>
      <c r="BF3" s="968">
        <v>4873010</v>
      </c>
      <c r="BG3" s="968">
        <v>826917</v>
      </c>
      <c r="BH3" s="968">
        <v>5164661</v>
      </c>
      <c r="BI3" s="968">
        <v>179756</v>
      </c>
      <c r="BJ3" s="968">
        <v>256736</v>
      </c>
      <c r="BK3" s="950"/>
      <c r="BL3" s="950"/>
      <c r="BM3" s="950"/>
      <c r="BN3" s="950"/>
      <c r="BO3" s="950"/>
      <c r="BP3" s="950"/>
      <c r="BQ3" s="950"/>
      <c r="BR3" s="950"/>
      <c r="BS3" s="950"/>
      <c r="BT3" s="950"/>
      <c r="BU3" s="950"/>
      <c r="BV3" s="950"/>
      <c r="BW3" s="950"/>
      <c r="BX3" s="950"/>
      <c r="BY3" s="950"/>
      <c r="BZ3" s="950"/>
      <c r="CA3" s="950"/>
      <c r="CB3" s="950"/>
      <c r="CC3" s="950"/>
      <c r="CD3" s="950"/>
      <c r="CE3" s="950"/>
      <c r="CF3" s="950"/>
      <c r="CG3" s="950"/>
      <c r="CH3" s="950"/>
      <c r="CI3" s="950"/>
    </row>
    <row r="4" spans="1:87" s="371" customFormat="1" ht="28.8" x14ac:dyDescent="0.3">
      <c r="A4" s="949">
        <v>5</v>
      </c>
      <c r="B4" s="1017">
        <v>5</v>
      </c>
      <c r="C4" s="948">
        <v>5</v>
      </c>
      <c r="D4" s="998" t="s">
        <v>120</v>
      </c>
      <c r="E4" s="998"/>
      <c r="F4" s="965">
        <v>0</v>
      </c>
      <c r="G4" s="966">
        <v>0</v>
      </c>
      <c r="H4" s="966">
        <v>0</v>
      </c>
      <c r="I4" s="966">
        <v>0</v>
      </c>
      <c r="J4" s="966">
        <v>0</v>
      </c>
      <c r="K4" s="966">
        <v>0</v>
      </c>
      <c r="L4" s="967">
        <v>0</v>
      </c>
      <c r="M4" s="968">
        <v>0</v>
      </c>
      <c r="N4" s="968">
        <v>230595</v>
      </c>
      <c r="O4" s="969">
        <v>0</v>
      </c>
      <c r="P4" s="969">
        <v>0</v>
      </c>
      <c r="Q4" s="969">
        <v>0</v>
      </c>
      <c r="R4" s="969">
        <v>0</v>
      </c>
      <c r="S4" s="969">
        <v>0</v>
      </c>
      <c r="T4" s="969">
        <v>0</v>
      </c>
      <c r="U4" s="969">
        <v>0</v>
      </c>
      <c r="V4" s="969">
        <v>0</v>
      </c>
      <c r="W4" s="969">
        <v>0</v>
      </c>
      <c r="X4" s="969">
        <v>0</v>
      </c>
      <c r="Y4" s="969">
        <v>0</v>
      </c>
      <c r="Z4" s="969">
        <v>0</v>
      </c>
      <c r="AA4" s="969">
        <v>0</v>
      </c>
      <c r="AB4" s="969">
        <v>1532</v>
      </c>
      <c r="AC4" s="969">
        <v>0</v>
      </c>
      <c r="AD4" s="968">
        <v>0</v>
      </c>
      <c r="AE4" s="968">
        <v>0</v>
      </c>
      <c r="AF4" s="968">
        <v>0</v>
      </c>
      <c r="AG4" s="968">
        <v>0</v>
      </c>
      <c r="AH4" s="968">
        <v>0</v>
      </c>
      <c r="AI4" s="968">
        <v>0</v>
      </c>
      <c r="AJ4" s="968">
        <v>0</v>
      </c>
      <c r="AK4" s="968">
        <v>0</v>
      </c>
      <c r="AL4" s="968">
        <v>0</v>
      </c>
      <c r="AM4" s="968">
        <v>0</v>
      </c>
      <c r="AN4" s="968">
        <v>0</v>
      </c>
      <c r="AO4" s="968">
        <v>0</v>
      </c>
      <c r="AP4" s="968">
        <v>0</v>
      </c>
      <c r="AQ4" s="968">
        <v>0</v>
      </c>
      <c r="AR4" s="968">
        <v>0</v>
      </c>
      <c r="AS4" s="968">
        <v>0</v>
      </c>
      <c r="AT4" s="968">
        <v>0</v>
      </c>
      <c r="AU4" s="968">
        <v>0</v>
      </c>
      <c r="AV4" s="968">
        <v>0</v>
      </c>
      <c r="AW4" s="968">
        <v>0</v>
      </c>
      <c r="AX4" s="968">
        <v>0</v>
      </c>
      <c r="AY4" s="968">
        <v>0</v>
      </c>
      <c r="AZ4" s="968">
        <v>0</v>
      </c>
      <c r="BA4" s="968">
        <v>0</v>
      </c>
      <c r="BB4" s="968">
        <v>0</v>
      </c>
      <c r="BC4" s="968">
        <v>0</v>
      </c>
      <c r="BD4" s="968">
        <v>0</v>
      </c>
      <c r="BE4" s="968">
        <v>0</v>
      </c>
      <c r="BF4" s="968">
        <v>0</v>
      </c>
      <c r="BG4" s="968">
        <v>0</v>
      </c>
      <c r="BH4" s="968">
        <v>0</v>
      </c>
      <c r="BI4" s="968">
        <v>0</v>
      </c>
      <c r="BJ4" s="968">
        <v>0</v>
      </c>
      <c r="BK4" s="950"/>
      <c r="BL4" s="950"/>
      <c r="BM4" s="950"/>
      <c r="BN4" s="950"/>
      <c r="BO4" s="950"/>
      <c r="BP4" s="950"/>
      <c r="BQ4" s="950"/>
      <c r="BR4" s="950"/>
      <c r="BS4" s="950"/>
      <c r="BT4" s="950"/>
      <c r="BU4" s="950"/>
      <c r="BV4" s="950"/>
      <c r="BW4" s="950"/>
      <c r="BX4" s="950"/>
      <c r="BY4" s="950"/>
      <c r="BZ4" s="950"/>
      <c r="CA4" s="950"/>
      <c r="CB4" s="950"/>
      <c r="CC4" s="950"/>
      <c r="CD4" s="950"/>
      <c r="CE4" s="950"/>
      <c r="CF4" s="950"/>
      <c r="CG4" s="950"/>
      <c r="CH4" s="950"/>
      <c r="CI4" s="950"/>
    </row>
    <row r="5" spans="1:87" s="371" customFormat="1" x14ac:dyDescent="0.3">
      <c r="A5" s="949">
        <v>6</v>
      </c>
      <c r="B5" s="1017">
        <v>6</v>
      </c>
      <c r="C5" s="948">
        <v>6</v>
      </c>
      <c r="D5" s="998" t="s">
        <v>260</v>
      </c>
      <c r="E5" s="998"/>
      <c r="F5" s="965">
        <v>0</v>
      </c>
      <c r="G5" s="966">
        <v>0</v>
      </c>
      <c r="H5" s="966">
        <v>0</v>
      </c>
      <c r="I5" s="966">
        <v>0</v>
      </c>
      <c r="J5" s="966">
        <v>0</v>
      </c>
      <c r="K5" s="966">
        <v>0</v>
      </c>
      <c r="L5" s="967">
        <v>0</v>
      </c>
      <c r="M5" s="968">
        <v>0</v>
      </c>
      <c r="N5" s="968">
        <v>0</v>
      </c>
      <c r="O5" s="969">
        <v>0</v>
      </c>
      <c r="P5" s="969">
        <v>0</v>
      </c>
      <c r="Q5" s="969">
        <v>0</v>
      </c>
      <c r="R5" s="969">
        <v>0</v>
      </c>
      <c r="S5" s="969">
        <v>0</v>
      </c>
      <c r="T5" s="969">
        <v>0</v>
      </c>
      <c r="U5" s="969">
        <v>0</v>
      </c>
      <c r="V5" s="969">
        <v>12749505</v>
      </c>
      <c r="W5" s="969">
        <v>0</v>
      </c>
      <c r="X5" s="969">
        <v>0</v>
      </c>
      <c r="Y5" s="969">
        <v>6582159</v>
      </c>
      <c r="Z5" s="969">
        <v>0</v>
      </c>
      <c r="AA5" s="969">
        <v>0</v>
      </c>
      <c r="AB5" s="969">
        <v>0</v>
      </c>
      <c r="AC5" s="969">
        <v>0</v>
      </c>
      <c r="AD5" s="968">
        <v>0</v>
      </c>
      <c r="AE5" s="968">
        <v>0</v>
      </c>
      <c r="AF5" s="968">
        <v>0</v>
      </c>
      <c r="AG5" s="968">
        <v>0</v>
      </c>
      <c r="AH5" s="968">
        <v>0</v>
      </c>
      <c r="AI5" s="968">
        <v>0</v>
      </c>
      <c r="AJ5" s="968">
        <v>0</v>
      </c>
      <c r="AK5" s="968">
        <v>0</v>
      </c>
      <c r="AL5" s="968">
        <v>0</v>
      </c>
      <c r="AM5" s="968">
        <v>0</v>
      </c>
      <c r="AN5" s="968">
        <v>0</v>
      </c>
      <c r="AO5" s="968">
        <v>0</v>
      </c>
      <c r="AP5" s="968">
        <v>0</v>
      </c>
      <c r="AQ5" s="968">
        <v>0</v>
      </c>
      <c r="AR5" s="968">
        <v>0</v>
      </c>
      <c r="AS5" s="968">
        <v>0</v>
      </c>
      <c r="AT5" s="968">
        <v>0</v>
      </c>
      <c r="AU5" s="968">
        <v>0</v>
      </c>
      <c r="AV5" s="968">
        <v>0</v>
      </c>
      <c r="AW5" s="968">
        <v>305963</v>
      </c>
      <c r="AX5" s="968">
        <v>0</v>
      </c>
      <c r="AY5" s="968">
        <v>2034083</v>
      </c>
      <c r="AZ5" s="968">
        <v>0</v>
      </c>
      <c r="BA5" s="968">
        <v>0</v>
      </c>
      <c r="BB5" s="968">
        <v>0</v>
      </c>
      <c r="BC5" s="968">
        <v>0</v>
      </c>
      <c r="BD5" s="968">
        <v>0</v>
      </c>
      <c r="BE5" s="968">
        <v>0</v>
      </c>
      <c r="BF5" s="968">
        <v>0</v>
      </c>
      <c r="BG5" s="968">
        <v>0</v>
      </c>
      <c r="BH5" s="968">
        <v>793806</v>
      </c>
      <c r="BI5" s="968">
        <v>0</v>
      </c>
      <c r="BJ5" s="968">
        <v>0</v>
      </c>
      <c r="BK5" s="950"/>
      <c r="BL5" s="950"/>
      <c r="BM5" s="950"/>
      <c r="BN5" s="950"/>
      <c r="BO5" s="950"/>
      <c r="BP5" s="950"/>
      <c r="BQ5" s="950"/>
      <c r="BR5" s="950"/>
      <c r="BS5" s="950"/>
      <c r="BT5" s="950"/>
      <c r="BU5" s="950"/>
      <c r="BV5" s="950"/>
      <c r="BW5" s="950"/>
      <c r="BX5" s="950"/>
      <c r="BY5" s="950"/>
      <c r="BZ5" s="950"/>
      <c r="CA5" s="950"/>
      <c r="CB5" s="950"/>
      <c r="CC5" s="950"/>
      <c r="CD5" s="950"/>
      <c r="CE5" s="950"/>
      <c r="CF5" s="950"/>
      <c r="CG5" s="950"/>
      <c r="CH5" s="950"/>
      <c r="CI5" s="950"/>
    </row>
    <row r="6" spans="1:87" s="371" customFormat="1" x14ac:dyDescent="0.3">
      <c r="A6" s="949">
        <v>7</v>
      </c>
      <c r="B6" s="1017">
        <v>7</v>
      </c>
      <c r="C6" s="948">
        <v>7</v>
      </c>
      <c r="D6" s="998" t="s">
        <v>201</v>
      </c>
      <c r="E6" s="998"/>
      <c r="F6" s="965">
        <v>0</v>
      </c>
      <c r="G6" s="966">
        <v>637006</v>
      </c>
      <c r="H6" s="966">
        <v>641528</v>
      </c>
      <c r="I6" s="966">
        <v>48381</v>
      </c>
      <c r="J6" s="966">
        <v>0</v>
      </c>
      <c r="K6" s="966">
        <v>0</v>
      </c>
      <c r="L6" s="967">
        <v>408485</v>
      </c>
      <c r="M6" s="968">
        <v>248069</v>
      </c>
      <c r="N6" s="968">
        <v>0</v>
      </c>
      <c r="O6" s="969">
        <v>0</v>
      </c>
      <c r="P6" s="969">
        <v>113397</v>
      </c>
      <c r="Q6" s="969">
        <v>174525</v>
      </c>
      <c r="R6" s="969">
        <v>0</v>
      </c>
      <c r="S6" s="969">
        <v>0</v>
      </c>
      <c r="T6" s="969">
        <v>0</v>
      </c>
      <c r="U6" s="969">
        <v>382480</v>
      </c>
      <c r="V6" s="969">
        <v>2509326</v>
      </c>
      <c r="W6" s="969">
        <v>0</v>
      </c>
      <c r="X6" s="969">
        <v>59860</v>
      </c>
      <c r="Y6" s="969">
        <v>894216</v>
      </c>
      <c r="Z6" s="969">
        <v>0</v>
      </c>
      <c r="AA6" s="969">
        <v>0</v>
      </c>
      <c r="AB6" s="969">
        <v>0</v>
      </c>
      <c r="AC6" s="969">
        <v>0</v>
      </c>
      <c r="AD6" s="968">
        <v>0</v>
      </c>
      <c r="AE6" s="968">
        <v>367832</v>
      </c>
      <c r="AF6" s="968">
        <v>0</v>
      </c>
      <c r="AG6" s="968">
        <v>2518024</v>
      </c>
      <c r="AH6" s="968">
        <v>0</v>
      </c>
      <c r="AI6" s="968">
        <v>0</v>
      </c>
      <c r="AJ6" s="968">
        <v>873957</v>
      </c>
      <c r="AK6" s="968">
        <v>0</v>
      </c>
      <c r="AL6" s="968">
        <v>0</v>
      </c>
      <c r="AM6" s="968">
        <v>0</v>
      </c>
      <c r="AN6" s="968">
        <v>793155</v>
      </c>
      <c r="AO6" s="968">
        <v>0</v>
      </c>
      <c r="AP6" s="968">
        <v>0</v>
      </c>
      <c r="AQ6" s="968">
        <v>0</v>
      </c>
      <c r="AR6" s="968">
        <v>543873</v>
      </c>
      <c r="AS6" s="968">
        <v>0</v>
      </c>
      <c r="AT6" s="968">
        <v>13340</v>
      </c>
      <c r="AU6" s="968">
        <v>0</v>
      </c>
      <c r="AV6" s="968">
        <v>0</v>
      </c>
      <c r="AW6" s="968">
        <v>0</v>
      </c>
      <c r="AX6" s="968">
        <v>541377</v>
      </c>
      <c r="AY6" s="968">
        <v>5905099</v>
      </c>
      <c r="AZ6" s="968">
        <v>0</v>
      </c>
      <c r="BA6" s="968">
        <v>174744</v>
      </c>
      <c r="BB6" s="968">
        <v>268876</v>
      </c>
      <c r="BC6" s="968">
        <v>678603</v>
      </c>
      <c r="BD6" s="968">
        <v>0</v>
      </c>
      <c r="BE6" s="968">
        <v>0</v>
      </c>
      <c r="BF6" s="968">
        <v>235623</v>
      </c>
      <c r="BG6" s="968">
        <v>1046841</v>
      </c>
      <c r="BH6" s="968">
        <v>1247999</v>
      </c>
      <c r="BI6" s="968">
        <v>0</v>
      </c>
      <c r="BJ6" s="968">
        <v>95558</v>
      </c>
      <c r="BK6" s="950"/>
      <c r="BL6" s="950"/>
      <c r="BM6" s="950"/>
      <c r="BN6" s="950"/>
      <c r="BO6" s="950"/>
      <c r="BP6" s="950"/>
      <c r="BQ6" s="950"/>
      <c r="BR6" s="950"/>
      <c r="BS6" s="950"/>
      <c r="BT6" s="950"/>
      <c r="BU6" s="950"/>
      <c r="BV6" s="950"/>
      <c r="BW6" s="950"/>
      <c r="BX6" s="950"/>
      <c r="BY6" s="950"/>
      <c r="BZ6" s="950"/>
      <c r="CA6" s="950"/>
      <c r="CB6" s="950"/>
      <c r="CC6" s="950"/>
      <c r="CD6" s="950"/>
      <c r="CE6" s="950"/>
      <c r="CF6" s="950"/>
      <c r="CG6" s="950"/>
      <c r="CH6" s="950"/>
      <c r="CI6" s="950"/>
    </row>
    <row r="7" spans="1:87" s="371" customFormat="1" ht="28.8" x14ac:dyDescent="0.3">
      <c r="A7" s="949">
        <v>9</v>
      </c>
      <c r="B7" s="1017">
        <v>9</v>
      </c>
      <c r="C7" s="948">
        <v>9</v>
      </c>
      <c r="D7" s="998" t="s">
        <v>203</v>
      </c>
      <c r="E7" s="998"/>
      <c r="F7" s="965">
        <v>364830</v>
      </c>
      <c r="G7" s="966">
        <v>2901734</v>
      </c>
      <c r="H7" s="966">
        <v>3087314</v>
      </c>
      <c r="I7" s="966">
        <v>1477588</v>
      </c>
      <c r="J7" s="966">
        <v>1521177</v>
      </c>
      <c r="K7" s="966">
        <v>1435615</v>
      </c>
      <c r="L7" s="967">
        <v>704954</v>
      </c>
      <c r="M7" s="968">
        <v>2684189</v>
      </c>
      <c r="N7" s="968">
        <v>5846903</v>
      </c>
      <c r="O7" s="969">
        <v>930186</v>
      </c>
      <c r="P7" s="969">
        <v>3113362</v>
      </c>
      <c r="Q7" s="969">
        <v>3486330</v>
      </c>
      <c r="R7" s="969">
        <v>2431410</v>
      </c>
      <c r="S7" s="969">
        <v>1442038</v>
      </c>
      <c r="T7" s="969">
        <v>660294</v>
      </c>
      <c r="U7" s="969">
        <v>4239889</v>
      </c>
      <c r="V7" s="969">
        <v>27526680</v>
      </c>
      <c r="W7" s="969">
        <v>2503381</v>
      </c>
      <c r="X7" s="969">
        <v>836101</v>
      </c>
      <c r="Y7" s="969">
        <v>18152468</v>
      </c>
      <c r="Z7" s="969">
        <v>6123848</v>
      </c>
      <c r="AA7" s="969">
        <v>466550</v>
      </c>
      <c r="AB7" s="969">
        <v>4225245</v>
      </c>
      <c r="AC7" s="969">
        <v>414689</v>
      </c>
      <c r="AD7" s="968">
        <v>1629741</v>
      </c>
      <c r="AE7" s="968">
        <v>9715276</v>
      </c>
      <c r="AF7" s="968">
        <v>627031</v>
      </c>
      <c r="AG7" s="968">
        <v>8169263</v>
      </c>
      <c r="AH7" s="968">
        <v>3126480</v>
      </c>
      <c r="AI7" s="968">
        <v>1527130</v>
      </c>
      <c r="AJ7" s="968">
        <v>4434012</v>
      </c>
      <c r="AK7" s="968">
        <v>15115232</v>
      </c>
      <c r="AL7" s="968">
        <v>6348211</v>
      </c>
      <c r="AM7" s="968">
        <v>3737487</v>
      </c>
      <c r="AN7" s="968">
        <v>4951196</v>
      </c>
      <c r="AO7" s="968">
        <v>1784661</v>
      </c>
      <c r="AP7" s="968">
        <v>685083</v>
      </c>
      <c r="AQ7" s="968">
        <v>992735</v>
      </c>
      <c r="AR7" s="968">
        <v>3015728</v>
      </c>
      <c r="AS7" s="968">
        <v>56500</v>
      </c>
      <c r="AT7" s="968">
        <v>-474402</v>
      </c>
      <c r="AU7" s="968">
        <v>1091547</v>
      </c>
      <c r="AV7" s="968">
        <v>344106</v>
      </c>
      <c r="AW7" s="968">
        <v>2033271</v>
      </c>
      <c r="AX7" s="968">
        <v>1123668</v>
      </c>
      <c r="AY7" s="968">
        <v>90888951</v>
      </c>
      <c r="AZ7" s="968">
        <v>999089</v>
      </c>
      <c r="BA7" s="968">
        <v>1037639</v>
      </c>
      <c r="BB7" s="968">
        <v>4174862</v>
      </c>
      <c r="BC7" s="968">
        <v>-5044004</v>
      </c>
      <c r="BD7" s="968">
        <v>870287</v>
      </c>
      <c r="BE7" s="968">
        <v>1495485</v>
      </c>
      <c r="BF7" s="968">
        <v>5753811</v>
      </c>
      <c r="BG7" s="968">
        <v>8095608</v>
      </c>
      <c r="BH7" s="968">
        <v>9897854</v>
      </c>
      <c r="BI7" s="968">
        <v>1615799</v>
      </c>
      <c r="BJ7" s="968">
        <v>1192969</v>
      </c>
      <c r="BK7" s="950"/>
      <c r="BL7" s="950"/>
      <c r="BM7" s="950"/>
      <c r="BN7" s="950"/>
      <c r="BO7" s="950"/>
      <c r="BP7" s="950"/>
      <c r="BQ7" s="950"/>
      <c r="BR7" s="950"/>
      <c r="BS7" s="950"/>
      <c r="BT7" s="950"/>
      <c r="BU7" s="950"/>
      <c r="BV7" s="950"/>
      <c r="BW7" s="950"/>
      <c r="BX7" s="950"/>
      <c r="BY7" s="950"/>
      <c r="BZ7" s="950"/>
      <c r="CA7" s="950"/>
      <c r="CB7" s="950"/>
      <c r="CC7" s="950"/>
      <c r="CD7" s="950"/>
      <c r="CE7" s="950"/>
      <c r="CF7" s="950"/>
      <c r="CG7" s="950"/>
      <c r="CH7" s="950"/>
      <c r="CI7" s="950"/>
    </row>
    <row r="8" spans="1:87" s="371" customFormat="1" x14ac:dyDescent="0.3">
      <c r="A8" s="949">
        <v>11</v>
      </c>
      <c r="B8" s="1017"/>
      <c r="C8" s="948">
        <v>11</v>
      </c>
      <c r="D8" s="953" t="s">
        <v>202</v>
      </c>
      <c r="E8" s="953"/>
      <c r="F8" s="965"/>
      <c r="G8" s="966"/>
      <c r="H8" s="966"/>
      <c r="I8" s="966"/>
      <c r="J8" s="966"/>
      <c r="K8" s="966"/>
      <c r="L8" s="967"/>
      <c r="M8" s="968"/>
      <c r="N8" s="968"/>
      <c r="O8" s="969"/>
      <c r="P8" s="969"/>
      <c r="Q8" s="969"/>
      <c r="R8" s="969"/>
      <c r="S8" s="969"/>
      <c r="T8" s="969"/>
      <c r="U8" s="969"/>
      <c r="V8" s="969"/>
      <c r="W8" s="969"/>
      <c r="X8" s="969"/>
      <c r="Y8" s="969"/>
      <c r="Z8" s="969"/>
      <c r="AA8" s="969"/>
      <c r="AB8" s="969"/>
      <c r="AC8" s="969"/>
      <c r="AD8" s="968"/>
      <c r="AE8" s="968"/>
      <c r="AF8" s="968"/>
      <c r="AG8" s="968"/>
      <c r="AH8" s="968"/>
      <c r="AI8" s="968"/>
      <c r="AJ8" s="968"/>
      <c r="AK8" s="968"/>
      <c r="AL8" s="968"/>
      <c r="AM8" s="968"/>
      <c r="AN8" s="968"/>
      <c r="AO8" s="968"/>
      <c r="AP8" s="968"/>
      <c r="AQ8" s="968"/>
      <c r="AR8" s="968"/>
      <c r="AS8" s="968"/>
      <c r="AT8" s="968"/>
      <c r="AU8" s="968"/>
      <c r="AV8" s="968"/>
      <c r="AW8" s="968"/>
      <c r="AX8" s="968"/>
      <c r="AY8" s="968"/>
      <c r="AZ8" s="968"/>
      <c r="BA8" s="968"/>
      <c r="BB8" s="968"/>
      <c r="BC8" s="968"/>
      <c r="BD8" s="968"/>
      <c r="BE8" s="968"/>
      <c r="BF8" s="968"/>
      <c r="BG8" s="968"/>
      <c r="BH8" s="968"/>
      <c r="BI8" s="968"/>
      <c r="BJ8" s="968"/>
      <c r="BK8" s="950"/>
      <c r="BL8" s="950"/>
      <c r="BM8" s="950"/>
      <c r="BN8" s="950"/>
      <c r="BO8" s="950"/>
      <c r="BP8" s="950"/>
      <c r="BQ8" s="950"/>
      <c r="BR8" s="950"/>
      <c r="BS8" s="950"/>
      <c r="BT8" s="950"/>
      <c r="BU8" s="950"/>
      <c r="BV8" s="950"/>
      <c r="BW8" s="950"/>
      <c r="BX8" s="950"/>
      <c r="BY8" s="950"/>
      <c r="BZ8" s="950"/>
      <c r="CA8" s="950"/>
      <c r="CB8" s="950"/>
      <c r="CC8" s="950"/>
      <c r="CD8" s="950"/>
      <c r="CE8" s="950"/>
      <c r="CF8" s="950"/>
      <c r="CG8" s="950"/>
      <c r="CH8" s="950"/>
      <c r="CI8" s="950"/>
    </row>
    <row r="9" spans="1:87" s="371" customFormat="1" ht="28.8" x14ac:dyDescent="0.3">
      <c r="A9" s="949">
        <v>12</v>
      </c>
      <c r="B9" s="1017"/>
      <c r="C9" s="948">
        <v>12</v>
      </c>
      <c r="D9" s="998" t="s">
        <v>374</v>
      </c>
      <c r="E9" s="998"/>
      <c r="F9" s="965"/>
      <c r="G9" s="966"/>
      <c r="H9" s="966"/>
      <c r="I9" s="966"/>
      <c r="J9" s="966"/>
      <c r="K9" s="966"/>
      <c r="L9" s="967"/>
      <c r="M9" s="968"/>
      <c r="N9" s="968"/>
      <c r="O9" s="969"/>
      <c r="P9" s="969"/>
      <c r="Q9" s="969"/>
      <c r="R9" s="969"/>
      <c r="S9" s="969"/>
      <c r="T9" s="969"/>
      <c r="U9" s="969"/>
      <c r="V9" s="969"/>
      <c r="W9" s="969"/>
      <c r="X9" s="969"/>
      <c r="Y9" s="969"/>
      <c r="Z9" s="969"/>
      <c r="AA9" s="969"/>
      <c r="AB9" s="969"/>
      <c r="AC9" s="969"/>
      <c r="AD9" s="968"/>
      <c r="AE9" s="968"/>
      <c r="AF9" s="968"/>
      <c r="AG9" s="968"/>
      <c r="AH9" s="968"/>
      <c r="AI9" s="968"/>
      <c r="AJ9" s="968"/>
      <c r="AK9" s="968"/>
      <c r="AL9" s="968"/>
      <c r="AM9" s="968"/>
      <c r="AN9" s="968"/>
      <c r="AO9" s="968"/>
      <c r="AP9" s="968"/>
      <c r="AQ9" s="968"/>
      <c r="AR9" s="968"/>
      <c r="AS9" s="968"/>
      <c r="AT9" s="968"/>
      <c r="AU9" s="968"/>
      <c r="AV9" s="968"/>
      <c r="AW9" s="968"/>
      <c r="AX9" s="968"/>
      <c r="AY9" s="968"/>
      <c r="AZ9" s="968"/>
      <c r="BA9" s="968"/>
      <c r="BB9" s="968"/>
      <c r="BC9" s="968"/>
      <c r="BD9" s="968"/>
      <c r="BE9" s="968"/>
      <c r="BF9" s="968"/>
      <c r="BG9" s="968"/>
      <c r="BH9" s="968"/>
      <c r="BI9" s="968"/>
      <c r="BJ9" s="968"/>
      <c r="BK9" s="947"/>
      <c r="BL9" s="947"/>
      <c r="BM9" s="947"/>
      <c r="BN9" s="947"/>
      <c r="BO9" s="947"/>
      <c r="BP9" s="947"/>
      <c r="BQ9" s="947"/>
      <c r="BR9" s="947"/>
      <c r="BS9" s="947"/>
      <c r="BT9" s="947"/>
      <c r="BU9" s="947"/>
      <c r="BV9" s="947"/>
      <c r="BW9" s="947"/>
      <c r="BX9" s="947"/>
      <c r="BY9" s="947"/>
      <c r="BZ9" s="947"/>
      <c r="CA9" s="947"/>
      <c r="CB9" s="947"/>
      <c r="CC9" s="947"/>
      <c r="CD9" s="947"/>
      <c r="CE9" s="947"/>
      <c r="CF9" s="947"/>
      <c r="CG9" s="947"/>
      <c r="CH9" s="947"/>
      <c r="CI9" s="947"/>
    </row>
    <row r="10" spans="1:87" s="371" customFormat="1" ht="43.2" x14ac:dyDescent="0.3">
      <c r="A10" s="949">
        <v>13</v>
      </c>
      <c r="B10" s="1017"/>
      <c r="C10" s="948">
        <v>13</v>
      </c>
      <c r="D10" s="998" t="s">
        <v>1046</v>
      </c>
      <c r="E10" s="998"/>
      <c r="F10" s="965"/>
      <c r="G10" s="966"/>
      <c r="H10" s="966"/>
      <c r="I10" s="966"/>
      <c r="J10" s="966"/>
      <c r="K10" s="966"/>
      <c r="L10" s="967"/>
      <c r="M10" s="968"/>
      <c r="N10" s="968"/>
      <c r="O10" s="969"/>
      <c r="P10" s="969"/>
      <c r="Q10" s="969"/>
      <c r="R10" s="969"/>
      <c r="S10" s="969"/>
      <c r="T10" s="969"/>
      <c r="U10" s="969"/>
      <c r="V10" s="969"/>
      <c r="W10" s="969"/>
      <c r="X10" s="969"/>
      <c r="Y10" s="969"/>
      <c r="Z10" s="969"/>
      <c r="AA10" s="969"/>
      <c r="AB10" s="969"/>
      <c r="AC10" s="969"/>
      <c r="AD10" s="968"/>
      <c r="AE10" s="968"/>
      <c r="AF10" s="968"/>
      <c r="AG10" s="968"/>
      <c r="AH10" s="968"/>
      <c r="AI10" s="968"/>
      <c r="AJ10" s="968"/>
      <c r="AK10" s="968"/>
      <c r="AL10" s="968"/>
      <c r="AM10" s="968"/>
      <c r="AN10" s="968"/>
      <c r="AO10" s="968"/>
      <c r="AP10" s="968"/>
      <c r="AQ10" s="968"/>
      <c r="AR10" s="968"/>
      <c r="AS10" s="968"/>
      <c r="AT10" s="968"/>
      <c r="AU10" s="968"/>
      <c r="AV10" s="968"/>
      <c r="AW10" s="968"/>
      <c r="AX10" s="968"/>
      <c r="AY10" s="968"/>
      <c r="AZ10" s="968"/>
      <c r="BA10" s="968"/>
      <c r="BB10" s="968"/>
      <c r="BC10" s="968"/>
      <c r="BD10" s="968"/>
      <c r="BE10" s="968"/>
      <c r="BF10" s="968"/>
      <c r="BG10" s="968"/>
      <c r="BH10" s="968"/>
      <c r="BI10" s="968"/>
      <c r="BJ10" s="968"/>
      <c r="BK10" s="947"/>
      <c r="BL10" s="947"/>
      <c r="BM10" s="947"/>
      <c r="BN10" s="947"/>
      <c r="BO10" s="947"/>
      <c r="BP10" s="947"/>
      <c r="BQ10" s="947"/>
      <c r="BR10" s="947"/>
      <c r="BS10" s="947"/>
      <c r="BT10" s="947"/>
      <c r="BU10" s="947"/>
      <c r="BV10" s="947"/>
      <c r="BW10" s="947"/>
      <c r="BX10" s="947"/>
      <c r="BY10" s="947"/>
      <c r="BZ10" s="947"/>
      <c r="CA10" s="947"/>
      <c r="CB10" s="947"/>
      <c r="CC10" s="947"/>
      <c r="CD10" s="947"/>
      <c r="CE10" s="947"/>
      <c r="CF10" s="947"/>
      <c r="CG10" s="947"/>
      <c r="CH10" s="947"/>
      <c r="CI10" s="947"/>
    </row>
    <row r="11" spans="1:87" s="371" customFormat="1" ht="28.8" x14ac:dyDescent="0.3">
      <c r="A11" s="949">
        <v>14</v>
      </c>
      <c r="B11" s="1017"/>
      <c r="C11" s="948">
        <v>14</v>
      </c>
      <c r="D11" s="998" t="s">
        <v>1047</v>
      </c>
      <c r="E11" s="998"/>
      <c r="F11" s="965"/>
      <c r="G11" s="966"/>
      <c r="H11" s="966"/>
      <c r="I11" s="966"/>
      <c r="J11" s="966"/>
      <c r="K11" s="966"/>
      <c r="L11" s="967"/>
      <c r="M11" s="968"/>
      <c r="N11" s="968"/>
      <c r="O11" s="969"/>
      <c r="P11" s="969"/>
      <c r="Q11" s="969"/>
      <c r="R11" s="969"/>
      <c r="S11" s="969"/>
      <c r="T11" s="969"/>
      <c r="U11" s="969"/>
      <c r="V11" s="969"/>
      <c r="W11" s="969"/>
      <c r="X11" s="969"/>
      <c r="Y11" s="969"/>
      <c r="Z11" s="969"/>
      <c r="AA11" s="969"/>
      <c r="AB11" s="969"/>
      <c r="AC11" s="969"/>
      <c r="AD11" s="968"/>
      <c r="AE11" s="968"/>
      <c r="AF11" s="968"/>
      <c r="AG11" s="968"/>
      <c r="AH11" s="968"/>
      <c r="AI11" s="968"/>
      <c r="AJ11" s="968"/>
      <c r="AK11" s="968"/>
      <c r="AL11" s="968"/>
      <c r="AM11" s="968"/>
      <c r="AN11" s="968"/>
      <c r="AO11" s="968"/>
      <c r="AP11" s="968"/>
      <c r="AQ11" s="968"/>
      <c r="AR11" s="968"/>
      <c r="AS11" s="968"/>
      <c r="AT11" s="968"/>
      <c r="AU11" s="968"/>
      <c r="AV11" s="968"/>
      <c r="AW11" s="968"/>
      <c r="AX11" s="968"/>
      <c r="AY11" s="968"/>
      <c r="AZ11" s="968"/>
      <c r="BA11" s="968"/>
      <c r="BB11" s="968"/>
      <c r="BC11" s="968"/>
      <c r="BD11" s="968"/>
      <c r="BE11" s="968"/>
      <c r="BF11" s="968"/>
      <c r="BG11" s="968"/>
      <c r="BH11" s="968"/>
      <c r="BI11" s="968"/>
      <c r="BJ11" s="968"/>
      <c r="BK11" s="947"/>
      <c r="BL11" s="947"/>
      <c r="BM11" s="947"/>
      <c r="BN11" s="947"/>
      <c r="BO11" s="947"/>
      <c r="BP11" s="947"/>
      <c r="BQ11" s="947"/>
      <c r="BR11" s="947"/>
      <c r="BS11" s="947"/>
      <c r="BT11" s="947"/>
      <c r="BU11" s="947"/>
      <c r="BV11" s="947"/>
      <c r="BW11" s="947"/>
      <c r="BX11" s="947"/>
      <c r="BY11" s="947"/>
      <c r="BZ11" s="947"/>
      <c r="CA11" s="947"/>
      <c r="CB11" s="947"/>
      <c r="CC11" s="947"/>
      <c r="CD11" s="947"/>
      <c r="CE11" s="947"/>
      <c r="CF11" s="947"/>
      <c r="CG11" s="947"/>
      <c r="CH11" s="947"/>
      <c r="CI11" s="947"/>
    </row>
    <row r="12" spans="1:87" s="371" customFormat="1" x14ac:dyDescent="0.3">
      <c r="A12" s="949">
        <v>16</v>
      </c>
      <c r="B12" s="1017">
        <v>16</v>
      </c>
      <c r="C12" s="948">
        <v>16</v>
      </c>
      <c r="D12" s="998" t="s">
        <v>205</v>
      </c>
      <c r="E12" s="998"/>
      <c r="F12" s="965">
        <v>11568190</v>
      </c>
      <c r="G12" s="966">
        <v>19343968</v>
      </c>
      <c r="H12" s="966">
        <v>10239507</v>
      </c>
      <c r="I12" s="966">
        <v>5637341</v>
      </c>
      <c r="J12" s="966">
        <v>19869890</v>
      </c>
      <c r="K12" s="966">
        <v>9982663</v>
      </c>
      <c r="L12" s="967">
        <v>2895368</v>
      </c>
      <c r="M12" s="968">
        <v>6223096</v>
      </c>
      <c r="N12" s="968">
        <v>12450277</v>
      </c>
      <c r="O12" s="969">
        <v>2737301</v>
      </c>
      <c r="P12" s="969">
        <v>5545105</v>
      </c>
      <c r="Q12" s="969">
        <v>31659093</v>
      </c>
      <c r="R12" s="969">
        <v>19466205</v>
      </c>
      <c r="S12" s="969">
        <v>3123250</v>
      </c>
      <c r="T12" s="969">
        <v>335707</v>
      </c>
      <c r="U12" s="969">
        <v>23679326</v>
      </c>
      <c r="V12" s="969">
        <v>87979510</v>
      </c>
      <c r="W12" s="969">
        <v>6693818</v>
      </c>
      <c r="X12" s="969">
        <v>3566290</v>
      </c>
      <c r="Y12" s="969">
        <v>54343278</v>
      </c>
      <c r="Z12" s="969">
        <v>35639312</v>
      </c>
      <c r="AA12" s="969">
        <v>3934395</v>
      </c>
      <c r="AB12" s="969">
        <v>19159775</v>
      </c>
      <c r="AC12" s="969">
        <v>2966607</v>
      </c>
      <c r="AD12" s="968">
        <v>10549743</v>
      </c>
      <c r="AE12" s="968">
        <v>43176648</v>
      </c>
      <c r="AF12" s="968">
        <v>5271694</v>
      </c>
      <c r="AG12" s="968">
        <v>26517934</v>
      </c>
      <c r="AH12" s="968">
        <v>8543591</v>
      </c>
      <c r="AI12" s="968">
        <v>4191159</v>
      </c>
      <c r="AJ12" s="968">
        <v>19962134</v>
      </c>
      <c r="AK12" s="968">
        <v>16543997</v>
      </c>
      <c r="AL12" s="968">
        <v>38224788</v>
      </c>
      <c r="AM12" s="968">
        <v>16340765</v>
      </c>
      <c r="AN12" s="968">
        <v>12108004</v>
      </c>
      <c r="AO12" s="968">
        <v>14407942</v>
      </c>
      <c r="AP12" s="968">
        <v>12454323</v>
      </c>
      <c r="AQ12" s="968">
        <v>13281402</v>
      </c>
      <c r="AR12" s="968">
        <v>10214234</v>
      </c>
      <c r="AS12" s="968">
        <v>1004598</v>
      </c>
      <c r="AT12" s="968">
        <v>5848773</v>
      </c>
      <c r="AU12" s="968">
        <v>12867046</v>
      </c>
      <c r="AV12" s="968">
        <v>713757</v>
      </c>
      <c r="AW12" s="968">
        <v>103782884</v>
      </c>
      <c r="AX12" s="968">
        <v>7603382</v>
      </c>
      <c r="AY12" s="968">
        <v>517986114</v>
      </c>
      <c r="AZ12" s="968">
        <v>4908197</v>
      </c>
      <c r="BA12" s="968">
        <v>1893626</v>
      </c>
      <c r="BB12" s="968">
        <v>15267334</v>
      </c>
      <c r="BC12" s="968">
        <v>19467699</v>
      </c>
      <c r="BD12" s="968">
        <v>2215991</v>
      </c>
      <c r="BE12" s="968">
        <v>2258991</v>
      </c>
      <c r="BF12" s="968">
        <v>18956398</v>
      </c>
      <c r="BG12" s="968">
        <v>22089941</v>
      </c>
      <c r="BH12" s="968">
        <v>128203563</v>
      </c>
      <c r="BI12" s="968">
        <v>7322965</v>
      </c>
      <c r="BJ12" s="968">
        <v>3259626</v>
      </c>
      <c r="BK12" s="947"/>
      <c r="BL12" s="947"/>
      <c r="BM12" s="947"/>
      <c r="BN12" s="947"/>
      <c r="BO12" s="947"/>
      <c r="BP12" s="947"/>
      <c r="BQ12" s="947"/>
      <c r="BR12" s="947"/>
      <c r="BS12" s="947"/>
      <c r="BT12" s="947"/>
      <c r="BU12" s="947"/>
      <c r="BV12" s="947"/>
      <c r="BW12" s="947"/>
      <c r="BX12" s="947"/>
      <c r="BY12" s="947"/>
      <c r="BZ12" s="947"/>
      <c r="CA12" s="947"/>
      <c r="CB12" s="947"/>
      <c r="CC12" s="947"/>
      <c r="CD12" s="947"/>
      <c r="CE12" s="947"/>
      <c r="CF12" s="947"/>
      <c r="CG12" s="947"/>
      <c r="CH12" s="947"/>
      <c r="CI12" s="947"/>
    </row>
    <row r="13" spans="1:87" s="371" customFormat="1" x14ac:dyDescent="0.3">
      <c r="A13" s="949">
        <v>17</v>
      </c>
      <c r="B13" s="1017">
        <v>17</v>
      </c>
      <c r="C13" s="948">
        <v>17</v>
      </c>
      <c r="D13" s="998" t="s">
        <v>208</v>
      </c>
      <c r="E13" s="998"/>
      <c r="F13" s="965">
        <v>0</v>
      </c>
      <c r="G13" s="966">
        <v>0</v>
      </c>
      <c r="H13" s="966">
        <v>0</v>
      </c>
      <c r="I13" s="966">
        <v>0</v>
      </c>
      <c r="J13" s="966">
        <v>0</v>
      </c>
      <c r="K13" s="966">
        <v>0</v>
      </c>
      <c r="L13" s="967">
        <v>0</v>
      </c>
      <c r="M13" s="968">
        <v>0</v>
      </c>
      <c r="N13" s="968">
        <v>0</v>
      </c>
      <c r="O13" s="969">
        <v>0</v>
      </c>
      <c r="P13" s="969">
        <v>358537</v>
      </c>
      <c r="Q13" s="969">
        <v>0</v>
      </c>
      <c r="R13" s="969">
        <v>0</v>
      </c>
      <c r="S13" s="969">
        <v>0</v>
      </c>
      <c r="T13" s="969">
        <v>0</v>
      </c>
      <c r="U13" s="969">
        <v>0</v>
      </c>
      <c r="V13" s="969">
        <v>0</v>
      </c>
      <c r="W13" s="969">
        <v>57988</v>
      </c>
      <c r="X13" s="969">
        <v>0</v>
      </c>
      <c r="Y13" s="969">
        <v>0</v>
      </c>
      <c r="Z13" s="969">
        <v>0</v>
      </c>
      <c r="AA13" s="969">
        <v>0</v>
      </c>
      <c r="AB13" s="969">
        <v>0</v>
      </c>
      <c r="AC13" s="969">
        <v>0</v>
      </c>
      <c r="AD13" s="968">
        <v>0</v>
      </c>
      <c r="AE13" s="968">
        <v>0</v>
      </c>
      <c r="AF13" s="968">
        <v>0</v>
      </c>
      <c r="AG13" s="968">
        <v>0</v>
      </c>
      <c r="AH13" s="968">
        <v>0</v>
      </c>
      <c r="AI13" s="968">
        <v>0</v>
      </c>
      <c r="AJ13" s="968">
        <v>0</v>
      </c>
      <c r="AK13" s="968">
        <v>0</v>
      </c>
      <c r="AL13" s="968">
        <v>0</v>
      </c>
      <c r="AM13" s="968">
        <v>0</v>
      </c>
      <c r="AN13" s="968">
        <v>0</v>
      </c>
      <c r="AO13" s="968">
        <v>0</v>
      </c>
      <c r="AP13" s="968">
        <v>500000</v>
      </c>
      <c r="AQ13" s="968">
        <v>0</v>
      </c>
      <c r="AR13" s="968">
        <v>0</v>
      </c>
      <c r="AS13" s="968">
        <v>0</v>
      </c>
      <c r="AT13" s="968">
        <v>0</v>
      </c>
      <c r="AU13" s="968">
        <v>0</v>
      </c>
      <c r="AV13" s="968">
        <v>0</v>
      </c>
      <c r="AW13" s="968">
        <v>0</v>
      </c>
      <c r="AX13" s="968">
        <v>0</v>
      </c>
      <c r="AY13" s="968">
        <v>0</v>
      </c>
      <c r="AZ13" s="968">
        <v>0</v>
      </c>
      <c r="BA13" s="968">
        <v>0</v>
      </c>
      <c r="BB13" s="968">
        <v>0</v>
      </c>
      <c r="BC13" s="968">
        <v>0</v>
      </c>
      <c r="BD13" s="968">
        <v>0</v>
      </c>
      <c r="BE13" s="968">
        <v>0</v>
      </c>
      <c r="BF13" s="968">
        <v>0</v>
      </c>
      <c r="BG13" s="968">
        <v>0</v>
      </c>
      <c r="BH13" s="968">
        <v>0</v>
      </c>
      <c r="BI13" s="968">
        <v>0</v>
      </c>
      <c r="BJ13" s="968">
        <v>122798</v>
      </c>
      <c r="BK13" s="947"/>
      <c r="BL13" s="947"/>
      <c r="BM13" s="947"/>
      <c r="BN13" s="947"/>
      <c r="BO13" s="947"/>
      <c r="BP13" s="947"/>
      <c r="BQ13" s="947"/>
      <c r="BR13" s="947"/>
      <c r="BS13" s="947"/>
      <c r="BT13" s="947"/>
      <c r="BU13" s="947"/>
      <c r="BV13" s="947"/>
      <c r="BW13" s="947"/>
      <c r="BX13" s="947"/>
      <c r="BY13" s="947"/>
      <c r="BZ13" s="947"/>
      <c r="CA13" s="947"/>
      <c r="CB13" s="947"/>
      <c r="CC13" s="947"/>
      <c r="CD13" s="947"/>
      <c r="CE13" s="947"/>
      <c r="CF13" s="947"/>
      <c r="CG13" s="947"/>
      <c r="CH13" s="947"/>
      <c r="CI13" s="947"/>
    </row>
    <row r="14" spans="1:87" s="371" customFormat="1" ht="28.8" x14ac:dyDescent="0.3">
      <c r="A14" s="949">
        <v>19</v>
      </c>
      <c r="B14" s="1017"/>
      <c r="C14" s="948">
        <v>19</v>
      </c>
      <c r="D14" s="998" t="s">
        <v>1048</v>
      </c>
      <c r="E14" s="998"/>
      <c r="F14" s="965"/>
      <c r="G14" s="966"/>
      <c r="H14" s="966"/>
      <c r="I14" s="966"/>
      <c r="J14" s="966"/>
      <c r="K14" s="966"/>
      <c r="L14" s="967"/>
      <c r="M14" s="968"/>
      <c r="N14" s="968"/>
      <c r="O14" s="969"/>
      <c r="P14" s="969"/>
      <c r="Q14" s="969"/>
      <c r="R14" s="969"/>
      <c r="S14" s="969"/>
      <c r="T14" s="969"/>
      <c r="U14" s="969"/>
      <c r="V14" s="969"/>
      <c r="W14" s="969"/>
      <c r="X14" s="969"/>
      <c r="Y14" s="969"/>
      <c r="Z14" s="969"/>
      <c r="AA14" s="969"/>
      <c r="AB14" s="969"/>
      <c r="AC14" s="969"/>
      <c r="AD14" s="968"/>
      <c r="AE14" s="968"/>
      <c r="AF14" s="968"/>
      <c r="AG14" s="968"/>
      <c r="AH14" s="968"/>
      <c r="AI14" s="968"/>
      <c r="AJ14" s="968"/>
      <c r="AK14" s="968"/>
      <c r="AL14" s="968"/>
      <c r="AM14" s="968"/>
      <c r="AN14" s="968"/>
      <c r="AO14" s="968"/>
      <c r="AP14" s="968"/>
      <c r="AQ14" s="968"/>
      <c r="AR14" s="968"/>
      <c r="AS14" s="968"/>
      <c r="AT14" s="968"/>
      <c r="AU14" s="968"/>
      <c r="AV14" s="968"/>
      <c r="AW14" s="968"/>
      <c r="AX14" s="968"/>
      <c r="AY14" s="968"/>
      <c r="AZ14" s="968"/>
      <c r="BA14" s="968"/>
      <c r="BB14" s="968"/>
      <c r="BC14" s="968"/>
      <c r="BD14" s="968"/>
      <c r="BE14" s="968"/>
      <c r="BF14" s="968"/>
      <c r="BG14" s="968"/>
      <c r="BH14" s="968"/>
      <c r="BI14" s="968"/>
      <c r="BJ14" s="968"/>
      <c r="BK14" s="947"/>
      <c r="BL14" s="947"/>
      <c r="BM14" s="947"/>
      <c r="BN14" s="947"/>
      <c r="BO14" s="947"/>
      <c r="BP14" s="947"/>
      <c r="BQ14" s="947"/>
      <c r="BR14" s="947"/>
      <c r="BS14" s="947"/>
      <c r="BT14" s="947"/>
      <c r="BU14" s="947"/>
      <c r="BV14" s="947"/>
      <c r="BW14" s="947"/>
      <c r="BX14" s="947"/>
      <c r="BY14" s="947"/>
      <c r="BZ14" s="947"/>
      <c r="CA14" s="947"/>
      <c r="CB14" s="947"/>
      <c r="CC14" s="947"/>
      <c r="CD14" s="947"/>
      <c r="CE14" s="947"/>
      <c r="CF14" s="947"/>
      <c r="CG14" s="947"/>
      <c r="CH14" s="947"/>
      <c r="CI14" s="947"/>
    </row>
    <row r="15" spans="1:87" s="371" customFormat="1" x14ac:dyDescent="0.3">
      <c r="A15" s="949">
        <v>20</v>
      </c>
      <c r="B15" s="1017">
        <v>20</v>
      </c>
      <c r="C15" s="948">
        <v>20</v>
      </c>
      <c r="D15" s="998" t="s">
        <v>209</v>
      </c>
      <c r="E15" s="998"/>
      <c r="F15" s="965">
        <v>0</v>
      </c>
      <c r="G15" s="966">
        <v>0</v>
      </c>
      <c r="H15" s="966">
        <v>0</v>
      </c>
      <c r="I15" s="966">
        <v>0</v>
      </c>
      <c r="J15" s="966">
        <v>0</v>
      </c>
      <c r="K15" s="966">
        <v>0</v>
      </c>
      <c r="L15" s="967">
        <v>0</v>
      </c>
      <c r="M15" s="968">
        <v>0</v>
      </c>
      <c r="N15" s="968">
        <v>10000</v>
      </c>
      <c r="O15" s="969">
        <v>10165</v>
      </c>
      <c r="P15" s="969">
        <v>0</v>
      </c>
      <c r="Q15" s="969">
        <v>0</v>
      </c>
      <c r="R15" s="969">
        <v>94824</v>
      </c>
      <c r="S15" s="969">
        <v>0</v>
      </c>
      <c r="T15" s="969">
        <v>0</v>
      </c>
      <c r="U15" s="969">
        <v>0</v>
      </c>
      <c r="V15" s="969">
        <v>71224</v>
      </c>
      <c r="W15" s="969">
        <v>0</v>
      </c>
      <c r="X15" s="969">
        <v>0</v>
      </c>
      <c r="Y15" s="969">
        <v>0</v>
      </c>
      <c r="Z15" s="969">
        <v>205063</v>
      </c>
      <c r="AA15" s="969">
        <v>65000</v>
      </c>
      <c r="AB15" s="969">
        <v>0</v>
      </c>
      <c r="AC15" s="969">
        <v>0</v>
      </c>
      <c r="AD15" s="968">
        <v>0</v>
      </c>
      <c r="AE15" s="968">
        <v>1277000</v>
      </c>
      <c r="AF15" s="968">
        <v>48115</v>
      </c>
      <c r="AG15" s="968">
        <v>215721</v>
      </c>
      <c r="AH15" s="968">
        <v>0</v>
      </c>
      <c r="AI15" s="968">
        <v>0</v>
      </c>
      <c r="AJ15" s="968">
        <v>0</v>
      </c>
      <c r="AK15" s="968">
        <v>0</v>
      </c>
      <c r="AL15" s="968">
        <v>0</v>
      </c>
      <c r="AM15" s="968">
        <v>0</v>
      </c>
      <c r="AN15" s="968">
        <v>0</v>
      </c>
      <c r="AO15" s="968">
        <v>0</v>
      </c>
      <c r="AP15" s="968">
        <v>0</v>
      </c>
      <c r="AQ15" s="968">
        <v>0</v>
      </c>
      <c r="AR15" s="968">
        <v>0</v>
      </c>
      <c r="AS15" s="968">
        <v>0</v>
      </c>
      <c r="AT15" s="968">
        <v>0</v>
      </c>
      <c r="AU15" s="968">
        <v>250000</v>
      </c>
      <c r="AV15" s="968">
        <v>0</v>
      </c>
      <c r="AW15" s="968">
        <v>0</v>
      </c>
      <c r="AX15" s="968">
        <v>0</v>
      </c>
      <c r="AY15" s="968">
        <v>0</v>
      </c>
      <c r="AZ15" s="968">
        <v>0</v>
      </c>
      <c r="BA15" s="968">
        <v>1000</v>
      </c>
      <c r="BB15" s="968">
        <v>0</v>
      </c>
      <c r="BC15" s="968">
        <v>0</v>
      </c>
      <c r="BD15" s="968">
        <v>0</v>
      </c>
      <c r="BE15" s="968">
        <v>0</v>
      </c>
      <c r="BF15" s="968">
        <v>46838</v>
      </c>
      <c r="BG15" s="968">
        <v>53762</v>
      </c>
      <c r="BH15" s="968">
        <v>0</v>
      </c>
      <c r="BI15" s="968">
        <v>0</v>
      </c>
      <c r="BJ15" s="968">
        <v>0</v>
      </c>
      <c r="BK15" s="947"/>
      <c r="BL15" s="947"/>
      <c r="BM15" s="947"/>
      <c r="BN15" s="947"/>
      <c r="BO15" s="947"/>
      <c r="BP15" s="947"/>
      <c r="BQ15" s="947"/>
      <c r="BR15" s="947"/>
      <c r="BS15" s="947"/>
      <c r="BT15" s="947"/>
      <c r="BU15" s="947"/>
      <c r="BV15" s="947"/>
      <c r="BW15" s="947"/>
      <c r="BX15" s="947"/>
      <c r="BY15" s="947"/>
      <c r="BZ15" s="947"/>
      <c r="CA15" s="947"/>
      <c r="CB15" s="947"/>
      <c r="CC15" s="947"/>
      <c r="CD15" s="947"/>
      <c r="CE15" s="947"/>
      <c r="CF15" s="947"/>
      <c r="CG15" s="947"/>
      <c r="CH15" s="947"/>
      <c r="CI15" s="947"/>
    </row>
    <row r="16" spans="1:87" s="371" customFormat="1" ht="43.2" x14ac:dyDescent="0.3">
      <c r="A16" s="949">
        <v>21</v>
      </c>
      <c r="B16" s="1017"/>
      <c r="C16" s="948">
        <v>21</v>
      </c>
      <c r="D16" s="998" t="s">
        <v>375</v>
      </c>
      <c r="E16" s="998"/>
      <c r="F16" s="965"/>
      <c r="G16" s="966"/>
      <c r="H16" s="966"/>
      <c r="I16" s="966"/>
      <c r="J16" s="966"/>
      <c r="K16" s="966"/>
      <c r="L16" s="967"/>
      <c r="M16" s="968"/>
      <c r="N16" s="968"/>
      <c r="O16" s="969"/>
      <c r="P16" s="969"/>
      <c r="Q16" s="969"/>
      <c r="R16" s="969"/>
      <c r="S16" s="969"/>
      <c r="T16" s="969"/>
      <c r="U16" s="969"/>
      <c r="V16" s="969"/>
      <c r="W16" s="969"/>
      <c r="X16" s="969"/>
      <c r="Y16" s="969"/>
      <c r="Z16" s="969"/>
      <c r="AA16" s="969"/>
      <c r="AB16" s="969"/>
      <c r="AC16" s="969"/>
      <c r="AD16" s="968"/>
      <c r="AE16" s="968"/>
      <c r="AF16" s="968"/>
      <c r="AG16" s="968"/>
      <c r="AH16" s="968"/>
      <c r="AI16" s="968"/>
      <c r="AJ16" s="968"/>
      <c r="AK16" s="968"/>
      <c r="AL16" s="968"/>
      <c r="AM16" s="968"/>
      <c r="AN16" s="968"/>
      <c r="AO16" s="968"/>
      <c r="AP16" s="968"/>
      <c r="AQ16" s="968"/>
      <c r="AR16" s="968"/>
      <c r="AS16" s="968"/>
      <c r="AT16" s="968"/>
      <c r="AU16" s="968"/>
      <c r="AV16" s="968"/>
      <c r="AW16" s="968"/>
      <c r="AX16" s="968"/>
      <c r="AY16" s="968"/>
      <c r="AZ16" s="968"/>
      <c r="BA16" s="968"/>
      <c r="BB16" s="968"/>
      <c r="BC16" s="968"/>
      <c r="BD16" s="968"/>
      <c r="BE16" s="968"/>
      <c r="BF16" s="968"/>
      <c r="BG16" s="968"/>
      <c r="BH16" s="968"/>
      <c r="BI16" s="968"/>
      <c r="BJ16" s="968"/>
      <c r="BK16" s="947"/>
      <c r="BL16" s="947"/>
      <c r="BM16" s="947"/>
      <c r="BN16" s="947"/>
      <c r="BO16" s="947"/>
      <c r="BP16" s="947"/>
      <c r="BQ16" s="947"/>
      <c r="BR16" s="947"/>
      <c r="BS16" s="947"/>
      <c r="BT16" s="947"/>
      <c r="BU16" s="947"/>
      <c r="BV16" s="947"/>
      <c r="BW16" s="947"/>
      <c r="BX16" s="947"/>
      <c r="BY16" s="947"/>
      <c r="BZ16" s="947"/>
      <c r="CA16" s="947"/>
      <c r="CB16" s="947"/>
      <c r="CC16" s="947"/>
      <c r="CD16" s="947"/>
      <c r="CE16" s="947"/>
      <c r="CF16" s="947"/>
      <c r="CG16" s="947"/>
      <c r="CH16" s="947"/>
      <c r="CI16" s="947"/>
    </row>
    <row r="17" spans="1:64" s="371" customFormat="1" x14ac:dyDescent="0.3">
      <c r="A17" s="949">
        <v>22</v>
      </c>
      <c r="B17" s="1017"/>
      <c r="C17" s="948">
        <v>22</v>
      </c>
      <c r="D17" s="998" t="s">
        <v>211</v>
      </c>
      <c r="E17" s="998"/>
      <c r="F17" s="965">
        <v>0</v>
      </c>
      <c r="G17" s="966">
        <v>0</v>
      </c>
      <c r="H17" s="966">
        <v>0</v>
      </c>
      <c r="I17" s="966">
        <v>0</v>
      </c>
      <c r="J17" s="966">
        <v>0</v>
      </c>
      <c r="K17" s="966">
        <v>0</v>
      </c>
      <c r="L17" s="967">
        <v>0</v>
      </c>
      <c r="M17" s="968">
        <v>0</v>
      </c>
      <c r="N17" s="968">
        <v>0</v>
      </c>
      <c r="O17" s="969">
        <v>0</v>
      </c>
      <c r="P17" s="969">
        <v>0</v>
      </c>
      <c r="Q17" s="969">
        <v>0</v>
      </c>
      <c r="R17" s="969">
        <v>0</v>
      </c>
      <c r="S17" s="969">
        <v>0</v>
      </c>
      <c r="T17" s="969">
        <v>0</v>
      </c>
      <c r="U17" s="969">
        <v>0</v>
      </c>
      <c r="V17" s="969">
        <v>0</v>
      </c>
      <c r="W17" s="969">
        <v>0</v>
      </c>
      <c r="X17" s="969">
        <v>0</v>
      </c>
      <c r="Y17" s="969">
        <v>0</v>
      </c>
      <c r="Z17" s="969">
        <v>0</v>
      </c>
      <c r="AA17" s="969">
        <v>0</v>
      </c>
      <c r="AB17" s="969">
        <v>0</v>
      </c>
      <c r="AC17" s="969">
        <v>0</v>
      </c>
      <c r="AD17" s="968">
        <v>0</v>
      </c>
      <c r="AE17" s="968">
        <v>0</v>
      </c>
      <c r="AF17" s="968">
        <v>0</v>
      </c>
      <c r="AG17" s="968">
        <v>0</v>
      </c>
      <c r="AH17" s="968">
        <v>0</v>
      </c>
      <c r="AI17" s="968">
        <v>0</v>
      </c>
      <c r="AJ17" s="968">
        <v>0</v>
      </c>
      <c r="AK17" s="968">
        <v>0</v>
      </c>
      <c r="AL17" s="968">
        <v>0</v>
      </c>
      <c r="AM17" s="968">
        <v>0</v>
      </c>
      <c r="AN17" s="968">
        <v>0</v>
      </c>
      <c r="AO17" s="968">
        <v>0</v>
      </c>
      <c r="AP17" s="968">
        <v>0</v>
      </c>
      <c r="AQ17" s="968">
        <v>0</v>
      </c>
      <c r="AR17" s="968">
        <v>0</v>
      </c>
      <c r="AS17" s="968">
        <v>0</v>
      </c>
      <c r="AT17" s="968">
        <v>0</v>
      </c>
      <c r="AU17" s="968">
        <v>0</v>
      </c>
      <c r="AV17" s="968">
        <v>0</v>
      </c>
      <c r="AW17" s="968">
        <v>0</v>
      </c>
      <c r="AX17" s="968">
        <v>0</v>
      </c>
      <c r="AY17" s="968">
        <v>0</v>
      </c>
      <c r="AZ17" s="968">
        <v>0</v>
      </c>
      <c r="BA17" s="968">
        <v>0</v>
      </c>
      <c r="BB17" s="968">
        <v>0</v>
      </c>
      <c r="BC17" s="968">
        <v>0</v>
      </c>
      <c r="BD17" s="968">
        <v>0</v>
      </c>
      <c r="BE17" s="968">
        <v>0</v>
      </c>
      <c r="BF17" s="968">
        <v>0</v>
      </c>
      <c r="BG17" s="968">
        <v>0</v>
      </c>
      <c r="BH17" s="968">
        <v>0</v>
      </c>
      <c r="BI17" s="968">
        <v>0</v>
      </c>
      <c r="BJ17" s="968">
        <v>0</v>
      </c>
      <c r="BK17" s="913"/>
      <c r="BL17" s="913"/>
    </row>
    <row r="18" spans="1:64" s="371" customFormat="1" x14ac:dyDescent="0.3">
      <c r="A18" s="949">
        <v>23</v>
      </c>
      <c r="B18" s="1017">
        <v>23</v>
      </c>
      <c r="C18" s="948">
        <v>23</v>
      </c>
      <c r="D18" s="998" t="s">
        <v>214</v>
      </c>
      <c r="E18" s="998"/>
      <c r="F18" s="965">
        <v>13143</v>
      </c>
      <c r="G18" s="966">
        <v>2126787</v>
      </c>
      <c r="H18" s="966">
        <v>180868</v>
      </c>
      <c r="I18" s="966">
        <v>508403</v>
      </c>
      <c r="J18" s="966">
        <v>238480</v>
      </c>
      <c r="K18" s="966">
        <v>242270</v>
      </c>
      <c r="L18" s="967">
        <v>-109125</v>
      </c>
      <c r="M18" s="968">
        <v>-384278</v>
      </c>
      <c r="N18" s="968">
        <v>-129453</v>
      </c>
      <c r="O18" s="969">
        <v>350952</v>
      </c>
      <c r="P18" s="969">
        <v>455369</v>
      </c>
      <c r="Q18" s="969">
        <v>1176536</v>
      </c>
      <c r="R18" s="969">
        <v>1076309</v>
      </c>
      <c r="S18" s="969">
        <v>263828</v>
      </c>
      <c r="T18" s="969">
        <v>154064</v>
      </c>
      <c r="U18" s="969">
        <v>920360</v>
      </c>
      <c r="V18" s="969">
        <v>7940070</v>
      </c>
      <c r="W18" s="969">
        <v>290282</v>
      </c>
      <c r="X18" s="969">
        <v>-157323</v>
      </c>
      <c r="Y18" s="969">
        <v>1919189</v>
      </c>
      <c r="Z18" s="969">
        <v>1433464</v>
      </c>
      <c r="AA18" s="969">
        <v>134138</v>
      </c>
      <c r="AB18" s="969">
        <v>984886</v>
      </c>
      <c r="AC18" s="969">
        <v>181253</v>
      </c>
      <c r="AD18" s="968">
        <v>673544</v>
      </c>
      <c r="AE18" s="968">
        <v>2375872</v>
      </c>
      <c r="AF18" s="968">
        <v>79898</v>
      </c>
      <c r="AG18" s="968">
        <v>1222438</v>
      </c>
      <c r="AH18" s="968">
        <v>-42636</v>
      </c>
      <c r="AI18" s="968">
        <v>148292</v>
      </c>
      <c r="AJ18" s="968">
        <v>2340035</v>
      </c>
      <c r="AK18" s="968">
        <v>655593</v>
      </c>
      <c r="AL18" s="968">
        <v>-383900</v>
      </c>
      <c r="AM18" s="968">
        <v>2032375</v>
      </c>
      <c r="AN18" s="968">
        <v>1686235</v>
      </c>
      <c r="AO18" s="968">
        <v>-34296</v>
      </c>
      <c r="AP18" s="968">
        <v>208271</v>
      </c>
      <c r="AQ18" s="968">
        <v>534129</v>
      </c>
      <c r="AR18" s="968">
        <v>-115408</v>
      </c>
      <c r="AS18" s="968">
        <v>8782</v>
      </c>
      <c r="AT18" s="968">
        <v>262389</v>
      </c>
      <c r="AU18" s="968">
        <v>223103</v>
      </c>
      <c r="AV18" s="968">
        <v>23578</v>
      </c>
      <c r="AW18" s="968">
        <v>659821</v>
      </c>
      <c r="AX18" s="968">
        <v>287490</v>
      </c>
      <c r="AY18" s="968">
        <v>26693955</v>
      </c>
      <c r="AZ18" s="968">
        <v>487343</v>
      </c>
      <c r="BA18" s="968">
        <v>326953</v>
      </c>
      <c r="BB18" s="968">
        <v>134616</v>
      </c>
      <c r="BC18" s="968">
        <v>-2202514</v>
      </c>
      <c r="BD18" s="968">
        <v>604754</v>
      </c>
      <c r="BE18" s="968">
        <v>372661</v>
      </c>
      <c r="BF18" s="968">
        <v>1246504</v>
      </c>
      <c r="BG18" s="968">
        <v>2592153</v>
      </c>
      <c r="BH18" s="968">
        <v>3226028</v>
      </c>
      <c r="BI18" s="968">
        <v>975677</v>
      </c>
      <c r="BJ18" s="968">
        <v>346294</v>
      </c>
      <c r="BK18" s="913"/>
      <c r="BL18" s="913"/>
    </row>
    <row r="19" spans="1:64" s="371" customFormat="1" ht="28.8" x14ac:dyDescent="0.3">
      <c r="A19" s="949">
        <v>31</v>
      </c>
      <c r="B19" s="1017">
        <v>31</v>
      </c>
      <c r="C19" s="948">
        <v>31</v>
      </c>
      <c r="D19" s="998" t="s">
        <v>1049</v>
      </c>
      <c r="E19" s="998"/>
      <c r="F19" s="965">
        <v>-442400</v>
      </c>
      <c r="G19" s="966">
        <v>-515005</v>
      </c>
      <c r="H19" s="966">
        <v>159286</v>
      </c>
      <c r="I19" s="966">
        <v>-353287</v>
      </c>
      <c r="J19" s="966">
        <v>862550</v>
      </c>
      <c r="K19" s="966">
        <v>442461</v>
      </c>
      <c r="L19" s="967">
        <v>69590</v>
      </c>
      <c r="M19" s="968">
        <v>41366</v>
      </c>
      <c r="N19" s="968">
        <v>11241</v>
      </c>
      <c r="O19" s="969">
        <v>34005</v>
      </c>
      <c r="P19" s="969">
        <v>64364</v>
      </c>
      <c r="Q19" s="969">
        <v>258116</v>
      </c>
      <c r="R19" s="969">
        <v>450941</v>
      </c>
      <c r="S19" s="969">
        <v>124831</v>
      </c>
      <c r="T19" s="969">
        <v>0</v>
      </c>
      <c r="U19" s="969">
        <v>1977873</v>
      </c>
      <c r="V19" s="969">
        <v>242384</v>
      </c>
      <c r="W19" s="969">
        <v>105353</v>
      </c>
      <c r="X19" s="969">
        <v>20404</v>
      </c>
      <c r="Y19" s="969">
        <v>-150911</v>
      </c>
      <c r="Z19" s="969">
        <v>110575</v>
      </c>
      <c r="AA19" s="969">
        <v>53691</v>
      </c>
      <c r="AB19" s="969">
        <v>657186</v>
      </c>
      <c r="AC19" s="969">
        <v>56843</v>
      </c>
      <c r="AD19" s="968">
        <v>272246</v>
      </c>
      <c r="AE19" s="968">
        <v>1515105</v>
      </c>
      <c r="AF19" s="968">
        <v>235847</v>
      </c>
      <c r="AG19" s="968">
        <v>-717748</v>
      </c>
      <c r="AH19" s="968">
        <v>-243501</v>
      </c>
      <c r="AI19" s="968">
        <v>26736</v>
      </c>
      <c r="AJ19" s="968">
        <v>222555</v>
      </c>
      <c r="AK19" s="968">
        <v>25576</v>
      </c>
      <c r="AL19" s="968">
        <v>577019</v>
      </c>
      <c r="AM19" s="968">
        <v>719903</v>
      </c>
      <c r="AN19" s="968">
        <v>-153149</v>
      </c>
      <c r="AO19" s="968">
        <v>23396</v>
      </c>
      <c r="AP19" s="968">
        <v>569475</v>
      </c>
      <c r="AQ19" s="968">
        <v>443345</v>
      </c>
      <c r="AR19" s="968">
        <v>-634926</v>
      </c>
      <c r="AS19" s="968">
        <v>375988</v>
      </c>
      <c r="AT19" s="968">
        <v>3150576</v>
      </c>
      <c r="AU19" s="968">
        <v>4357</v>
      </c>
      <c r="AV19" s="968">
        <v>43613</v>
      </c>
      <c r="AW19" s="968">
        <v>-1545816</v>
      </c>
      <c r="AX19" s="968">
        <v>434737</v>
      </c>
      <c r="AY19" s="968">
        <v>-5647649</v>
      </c>
      <c r="AZ19" s="968">
        <v>-218743</v>
      </c>
      <c r="BA19" s="968">
        <v>95653</v>
      </c>
      <c r="BB19" s="968">
        <v>369097</v>
      </c>
      <c r="BC19" s="968">
        <v>166909</v>
      </c>
      <c r="BD19" s="968">
        <v>107569</v>
      </c>
      <c r="BE19" s="968">
        <v>127050</v>
      </c>
      <c r="BF19" s="968">
        <v>96339</v>
      </c>
      <c r="BG19" s="968">
        <v>-602732</v>
      </c>
      <c r="BH19" s="968">
        <v>258683</v>
      </c>
      <c r="BI19" s="968">
        <v>94486</v>
      </c>
      <c r="BJ19" s="968">
        <v>222975</v>
      </c>
      <c r="BK19" s="913"/>
      <c r="BL19" s="913"/>
    </row>
    <row r="20" spans="1:64" s="371" customFormat="1" ht="43.2" x14ac:dyDescent="0.3">
      <c r="A20" s="949">
        <v>32</v>
      </c>
      <c r="B20" s="1017"/>
      <c r="C20" s="948">
        <v>32</v>
      </c>
      <c r="D20" s="953" t="s">
        <v>292</v>
      </c>
      <c r="E20" s="953"/>
      <c r="F20" s="965"/>
      <c r="G20" s="966"/>
      <c r="H20" s="966"/>
      <c r="I20" s="966"/>
      <c r="J20" s="966"/>
      <c r="K20" s="966"/>
      <c r="L20" s="967"/>
      <c r="M20" s="968"/>
      <c r="N20" s="968"/>
      <c r="O20" s="969"/>
      <c r="P20" s="969"/>
      <c r="Q20" s="969"/>
      <c r="R20" s="969"/>
      <c r="S20" s="969"/>
      <c r="T20" s="969"/>
      <c r="U20" s="969"/>
      <c r="V20" s="969"/>
      <c r="W20" s="969"/>
      <c r="X20" s="969"/>
      <c r="Y20" s="969"/>
      <c r="Z20" s="969"/>
      <c r="AA20" s="969"/>
      <c r="AB20" s="969"/>
      <c r="AC20" s="969"/>
      <c r="AD20" s="968"/>
      <c r="AE20" s="968"/>
      <c r="AF20" s="968"/>
      <c r="AG20" s="968"/>
      <c r="AH20" s="968"/>
      <c r="AI20" s="968"/>
      <c r="AJ20" s="968"/>
      <c r="AK20" s="968"/>
      <c r="AL20" s="968"/>
      <c r="AM20" s="968"/>
      <c r="AN20" s="968"/>
      <c r="AO20" s="968"/>
      <c r="AP20" s="968"/>
      <c r="AQ20" s="968"/>
      <c r="AR20" s="968"/>
      <c r="AS20" s="968"/>
      <c r="AT20" s="968"/>
      <c r="AU20" s="968"/>
      <c r="AV20" s="968"/>
      <c r="AW20" s="968"/>
      <c r="AX20" s="968"/>
      <c r="AY20" s="968"/>
      <c r="AZ20" s="968"/>
      <c r="BA20" s="968"/>
      <c r="BB20" s="968"/>
      <c r="BC20" s="968"/>
      <c r="BD20" s="968"/>
      <c r="BE20" s="968"/>
      <c r="BF20" s="968"/>
      <c r="BG20" s="968"/>
      <c r="BH20" s="968"/>
      <c r="BI20" s="968"/>
      <c r="BJ20" s="968"/>
      <c r="BK20" s="915"/>
      <c r="BL20" s="915"/>
    </row>
    <row r="21" spans="1:64" s="371" customFormat="1" ht="28.8" x14ac:dyDescent="0.3">
      <c r="A21" s="949">
        <v>33</v>
      </c>
      <c r="B21" s="1017"/>
      <c r="C21" s="948">
        <v>33</v>
      </c>
      <c r="D21" s="953" t="s">
        <v>293</v>
      </c>
      <c r="E21" s="953"/>
      <c r="F21" s="965"/>
      <c r="G21" s="966"/>
      <c r="H21" s="966"/>
      <c r="I21" s="966"/>
      <c r="J21" s="966"/>
      <c r="K21" s="966"/>
      <c r="L21" s="967"/>
      <c r="M21" s="968"/>
      <c r="N21" s="968"/>
      <c r="O21" s="969"/>
      <c r="P21" s="969"/>
      <c r="Q21" s="969"/>
      <c r="R21" s="969"/>
      <c r="S21" s="969"/>
      <c r="T21" s="969"/>
      <c r="U21" s="969"/>
      <c r="V21" s="969"/>
      <c r="W21" s="969"/>
      <c r="X21" s="969"/>
      <c r="Y21" s="969"/>
      <c r="Z21" s="969"/>
      <c r="AA21" s="969"/>
      <c r="AB21" s="969"/>
      <c r="AC21" s="969"/>
      <c r="AD21" s="968"/>
      <c r="AE21" s="968"/>
      <c r="AF21" s="968"/>
      <c r="AG21" s="968"/>
      <c r="AH21" s="968"/>
      <c r="AI21" s="968"/>
      <c r="AJ21" s="968"/>
      <c r="AK21" s="968"/>
      <c r="AL21" s="968"/>
      <c r="AM21" s="968"/>
      <c r="AN21" s="968"/>
      <c r="AO21" s="968"/>
      <c r="AP21" s="968"/>
      <c r="AQ21" s="968"/>
      <c r="AR21" s="968"/>
      <c r="AS21" s="968"/>
      <c r="AT21" s="968"/>
      <c r="AU21" s="968"/>
      <c r="AV21" s="968"/>
      <c r="AW21" s="968"/>
      <c r="AX21" s="968"/>
      <c r="AY21" s="968"/>
      <c r="AZ21" s="968"/>
      <c r="BA21" s="968"/>
      <c r="BB21" s="968"/>
      <c r="BC21" s="968"/>
      <c r="BD21" s="968"/>
      <c r="BE21" s="968"/>
      <c r="BF21" s="968"/>
      <c r="BG21" s="968"/>
      <c r="BH21" s="968"/>
      <c r="BI21" s="968"/>
      <c r="BJ21" s="968"/>
      <c r="BK21" s="915"/>
      <c r="BL21" s="915"/>
    </row>
    <row r="22" spans="1:64" s="371" customFormat="1" ht="26.4" x14ac:dyDescent="0.3">
      <c r="A22" s="949">
        <v>34</v>
      </c>
      <c r="B22" s="1017"/>
      <c r="C22" s="948">
        <v>34</v>
      </c>
      <c r="D22" s="954" t="s">
        <v>294</v>
      </c>
      <c r="E22" s="954"/>
      <c r="F22" s="965"/>
      <c r="G22" s="966"/>
      <c r="H22" s="966"/>
      <c r="I22" s="966"/>
      <c r="J22" s="966"/>
      <c r="K22" s="966"/>
      <c r="L22" s="967"/>
      <c r="M22" s="968"/>
      <c r="N22" s="968"/>
      <c r="O22" s="969"/>
      <c r="P22" s="969"/>
      <c r="Q22" s="969"/>
      <c r="R22" s="969"/>
      <c r="S22" s="969"/>
      <c r="T22" s="969"/>
      <c r="U22" s="969"/>
      <c r="V22" s="969"/>
      <c r="W22" s="969"/>
      <c r="X22" s="969"/>
      <c r="Y22" s="969"/>
      <c r="Z22" s="969"/>
      <c r="AA22" s="969"/>
      <c r="AB22" s="969"/>
      <c r="AC22" s="969"/>
      <c r="AD22" s="968"/>
      <c r="AE22" s="968"/>
      <c r="AF22" s="968"/>
      <c r="AG22" s="968"/>
      <c r="AH22" s="968"/>
      <c r="AI22" s="968"/>
      <c r="AJ22" s="968"/>
      <c r="AK22" s="968"/>
      <c r="AL22" s="968"/>
      <c r="AM22" s="968"/>
      <c r="AN22" s="968"/>
      <c r="AO22" s="968"/>
      <c r="AP22" s="968"/>
      <c r="AQ22" s="968"/>
      <c r="AR22" s="968"/>
      <c r="AS22" s="968"/>
      <c r="AT22" s="968"/>
      <c r="AU22" s="968"/>
      <c r="AV22" s="968"/>
      <c r="AW22" s="968"/>
      <c r="AX22" s="968"/>
      <c r="AY22" s="968"/>
      <c r="AZ22" s="968"/>
      <c r="BA22" s="968"/>
      <c r="BB22" s="968"/>
      <c r="BC22" s="968"/>
      <c r="BD22" s="968"/>
      <c r="BE22" s="968"/>
      <c r="BF22" s="968"/>
      <c r="BG22" s="968"/>
      <c r="BH22" s="968"/>
      <c r="BI22" s="968"/>
      <c r="BJ22" s="968"/>
      <c r="BK22" s="915"/>
      <c r="BL22" s="915"/>
    </row>
    <row r="23" spans="1:64" s="371" customFormat="1" x14ac:dyDescent="0.3">
      <c r="A23" s="949">
        <v>35</v>
      </c>
      <c r="B23" s="1017"/>
      <c r="C23" s="948">
        <v>35</v>
      </c>
      <c r="D23" s="954" t="s">
        <v>376</v>
      </c>
      <c r="E23" s="954"/>
      <c r="F23" s="965"/>
      <c r="G23" s="966"/>
      <c r="H23" s="966"/>
      <c r="I23" s="966"/>
      <c r="J23" s="966"/>
      <c r="K23" s="966"/>
      <c r="L23" s="967"/>
      <c r="M23" s="968"/>
      <c r="N23" s="968"/>
      <c r="O23" s="969"/>
      <c r="P23" s="969"/>
      <c r="Q23" s="969"/>
      <c r="R23" s="969"/>
      <c r="S23" s="969"/>
      <c r="T23" s="969"/>
      <c r="U23" s="969"/>
      <c r="V23" s="969"/>
      <c r="W23" s="969"/>
      <c r="X23" s="969"/>
      <c r="Y23" s="969"/>
      <c r="Z23" s="969"/>
      <c r="AA23" s="969"/>
      <c r="AB23" s="969"/>
      <c r="AC23" s="969"/>
      <c r="AD23" s="968"/>
      <c r="AE23" s="968"/>
      <c r="AF23" s="968"/>
      <c r="AG23" s="968"/>
      <c r="AH23" s="968"/>
      <c r="AI23" s="968"/>
      <c r="AJ23" s="968"/>
      <c r="AK23" s="968"/>
      <c r="AL23" s="968"/>
      <c r="AM23" s="968"/>
      <c r="AN23" s="968"/>
      <c r="AO23" s="968"/>
      <c r="AP23" s="968"/>
      <c r="AQ23" s="968"/>
      <c r="AR23" s="968"/>
      <c r="AS23" s="968"/>
      <c r="AT23" s="968"/>
      <c r="AU23" s="968"/>
      <c r="AV23" s="968"/>
      <c r="AW23" s="968"/>
      <c r="AX23" s="968"/>
      <c r="AY23" s="968"/>
      <c r="AZ23" s="968"/>
      <c r="BA23" s="968"/>
      <c r="BB23" s="968"/>
      <c r="BC23" s="968"/>
      <c r="BD23" s="968"/>
      <c r="BE23" s="968"/>
      <c r="BF23" s="968"/>
      <c r="BG23" s="968"/>
      <c r="BH23" s="968"/>
      <c r="BI23" s="968"/>
      <c r="BJ23" s="968"/>
      <c r="BK23" s="915"/>
      <c r="BL23" s="915"/>
    </row>
    <row r="24" spans="1:64" s="371" customFormat="1" ht="26.4" x14ac:dyDescent="0.3">
      <c r="A24" s="949">
        <v>36</v>
      </c>
      <c r="B24" s="1017"/>
      <c r="C24" s="948">
        <v>36</v>
      </c>
      <c r="D24" s="954" t="s">
        <v>377</v>
      </c>
      <c r="E24" s="954"/>
      <c r="F24" s="965"/>
      <c r="G24" s="966"/>
      <c r="H24" s="966"/>
      <c r="I24" s="966"/>
      <c r="J24" s="966"/>
      <c r="K24" s="966"/>
      <c r="L24" s="967"/>
      <c r="M24" s="968"/>
      <c r="N24" s="968"/>
      <c r="O24" s="969"/>
      <c r="P24" s="969"/>
      <c r="Q24" s="969"/>
      <c r="R24" s="969"/>
      <c r="S24" s="969"/>
      <c r="T24" s="969"/>
      <c r="U24" s="969"/>
      <c r="V24" s="969"/>
      <c r="W24" s="969"/>
      <c r="X24" s="969"/>
      <c r="Y24" s="969"/>
      <c r="Z24" s="969"/>
      <c r="AA24" s="969"/>
      <c r="AB24" s="969"/>
      <c r="AC24" s="969"/>
      <c r="AD24" s="968"/>
      <c r="AE24" s="968"/>
      <c r="AF24" s="968"/>
      <c r="AG24" s="968"/>
      <c r="AH24" s="968"/>
      <c r="AI24" s="968"/>
      <c r="AJ24" s="968"/>
      <c r="AK24" s="968"/>
      <c r="AL24" s="968"/>
      <c r="AM24" s="968"/>
      <c r="AN24" s="968"/>
      <c r="AO24" s="968"/>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15"/>
      <c r="BL24" s="915"/>
    </row>
    <row r="25" spans="1:64" s="371" customFormat="1" ht="26.4" x14ac:dyDescent="0.3">
      <c r="A25" s="949">
        <v>37</v>
      </c>
      <c r="B25" s="1017"/>
      <c r="C25" s="948">
        <v>37</v>
      </c>
      <c r="D25" s="954" t="s">
        <v>295</v>
      </c>
      <c r="E25" s="954"/>
      <c r="F25" s="965"/>
      <c r="G25" s="966"/>
      <c r="H25" s="966"/>
      <c r="I25" s="966"/>
      <c r="J25" s="966"/>
      <c r="K25" s="966"/>
      <c r="L25" s="967"/>
      <c r="M25" s="968"/>
      <c r="N25" s="968"/>
      <c r="O25" s="969"/>
      <c r="P25" s="969"/>
      <c r="Q25" s="969"/>
      <c r="R25" s="969"/>
      <c r="S25" s="969"/>
      <c r="T25" s="969"/>
      <c r="U25" s="969"/>
      <c r="V25" s="969"/>
      <c r="W25" s="969"/>
      <c r="X25" s="969"/>
      <c r="Y25" s="969"/>
      <c r="Z25" s="969"/>
      <c r="AA25" s="969"/>
      <c r="AB25" s="969"/>
      <c r="AC25" s="969"/>
      <c r="AD25" s="968"/>
      <c r="AE25" s="968"/>
      <c r="AF25" s="968"/>
      <c r="AG25" s="968"/>
      <c r="AH25" s="968"/>
      <c r="AI25" s="968"/>
      <c r="AJ25" s="968"/>
      <c r="AK25" s="968"/>
      <c r="AL25" s="968"/>
      <c r="AM25" s="968"/>
      <c r="AN25" s="968"/>
      <c r="AO25" s="968"/>
      <c r="AP25" s="968"/>
      <c r="AQ25" s="968"/>
      <c r="AR25" s="968"/>
      <c r="AS25" s="968"/>
      <c r="AT25" s="968"/>
      <c r="AU25" s="968"/>
      <c r="AV25" s="968"/>
      <c r="AW25" s="968"/>
      <c r="AX25" s="968"/>
      <c r="AY25" s="968"/>
      <c r="AZ25" s="968"/>
      <c r="BA25" s="968"/>
      <c r="BB25" s="968"/>
      <c r="BC25" s="968"/>
      <c r="BD25" s="968"/>
      <c r="BE25" s="968"/>
      <c r="BF25" s="968"/>
      <c r="BG25" s="968"/>
      <c r="BH25" s="968"/>
      <c r="BI25" s="968"/>
      <c r="BJ25" s="968"/>
      <c r="BK25" s="915"/>
      <c r="BL25" s="915"/>
    </row>
    <row r="26" spans="1:64" s="371" customFormat="1" ht="26.4" x14ac:dyDescent="0.3">
      <c r="A26" s="949">
        <v>38</v>
      </c>
      <c r="B26" s="1017"/>
      <c r="C26" s="948">
        <v>38</v>
      </c>
      <c r="D26" s="954" t="s">
        <v>378</v>
      </c>
      <c r="E26" s="954"/>
      <c r="F26" s="965"/>
      <c r="G26" s="966"/>
      <c r="H26" s="966"/>
      <c r="I26" s="966"/>
      <c r="J26" s="966"/>
      <c r="K26" s="966"/>
      <c r="L26" s="967"/>
      <c r="M26" s="968"/>
      <c r="N26" s="968"/>
      <c r="O26" s="969"/>
      <c r="P26" s="969"/>
      <c r="Q26" s="969"/>
      <c r="R26" s="969"/>
      <c r="S26" s="969"/>
      <c r="T26" s="969"/>
      <c r="U26" s="969"/>
      <c r="V26" s="969"/>
      <c r="W26" s="969"/>
      <c r="X26" s="969"/>
      <c r="Y26" s="969"/>
      <c r="Z26" s="969"/>
      <c r="AA26" s="969"/>
      <c r="AB26" s="969"/>
      <c r="AC26" s="969"/>
      <c r="AD26" s="968"/>
      <c r="AE26" s="968"/>
      <c r="AF26" s="968"/>
      <c r="AG26" s="968"/>
      <c r="AH26" s="968"/>
      <c r="AI26" s="968"/>
      <c r="AJ26" s="968"/>
      <c r="AK26" s="968"/>
      <c r="AL26" s="968"/>
      <c r="AM26" s="968"/>
      <c r="AN26" s="968"/>
      <c r="AO26" s="968"/>
      <c r="AP26" s="968"/>
      <c r="AQ26" s="968"/>
      <c r="AR26" s="968"/>
      <c r="AS26" s="968"/>
      <c r="AT26" s="968"/>
      <c r="AU26" s="968"/>
      <c r="AV26" s="968"/>
      <c r="AW26" s="968"/>
      <c r="AX26" s="968"/>
      <c r="AY26" s="968"/>
      <c r="AZ26" s="968"/>
      <c r="BA26" s="968"/>
      <c r="BB26" s="968"/>
      <c r="BC26" s="968"/>
      <c r="BD26" s="968"/>
      <c r="BE26" s="968"/>
      <c r="BF26" s="968"/>
      <c r="BG26" s="968"/>
      <c r="BH26" s="968"/>
      <c r="BI26" s="968"/>
      <c r="BJ26" s="968"/>
      <c r="BK26" s="915"/>
      <c r="BL26" s="915"/>
    </row>
    <row r="27" spans="1:64" s="371" customFormat="1" ht="26.4" x14ac:dyDescent="0.3">
      <c r="A27" s="949">
        <v>39</v>
      </c>
      <c r="B27" s="1017"/>
      <c r="C27" s="948">
        <v>39</v>
      </c>
      <c r="D27" s="954" t="s">
        <v>296</v>
      </c>
      <c r="E27" s="954"/>
      <c r="F27" s="965"/>
      <c r="G27" s="966"/>
      <c r="H27" s="966"/>
      <c r="I27" s="966"/>
      <c r="J27" s="966"/>
      <c r="K27" s="966"/>
      <c r="L27" s="967"/>
      <c r="M27" s="968"/>
      <c r="N27" s="968"/>
      <c r="O27" s="969"/>
      <c r="P27" s="969"/>
      <c r="Q27" s="969"/>
      <c r="R27" s="969"/>
      <c r="S27" s="969"/>
      <c r="T27" s="969"/>
      <c r="U27" s="969"/>
      <c r="V27" s="969"/>
      <c r="W27" s="969"/>
      <c r="X27" s="969"/>
      <c r="Y27" s="969"/>
      <c r="Z27" s="969"/>
      <c r="AA27" s="969"/>
      <c r="AB27" s="969"/>
      <c r="AC27" s="969"/>
      <c r="AD27" s="968"/>
      <c r="AE27" s="968"/>
      <c r="AF27" s="968"/>
      <c r="AG27" s="968"/>
      <c r="AH27" s="968"/>
      <c r="AI27" s="968"/>
      <c r="AJ27" s="968"/>
      <c r="AK27" s="968"/>
      <c r="AL27" s="968"/>
      <c r="AM27" s="968"/>
      <c r="AN27" s="968"/>
      <c r="AO27" s="968"/>
      <c r="AP27" s="968"/>
      <c r="AQ27" s="968"/>
      <c r="AR27" s="968"/>
      <c r="AS27" s="968"/>
      <c r="AT27" s="968"/>
      <c r="AU27" s="968"/>
      <c r="AV27" s="968"/>
      <c r="AW27" s="968"/>
      <c r="AX27" s="968"/>
      <c r="AY27" s="968"/>
      <c r="AZ27" s="968"/>
      <c r="BA27" s="968"/>
      <c r="BB27" s="968"/>
      <c r="BC27" s="968"/>
      <c r="BD27" s="968"/>
      <c r="BE27" s="968"/>
      <c r="BF27" s="968"/>
      <c r="BG27" s="968"/>
      <c r="BH27" s="968"/>
      <c r="BI27" s="968"/>
      <c r="BJ27" s="968"/>
      <c r="BK27" s="915"/>
      <c r="BL27" s="915"/>
    </row>
    <row r="28" spans="1:64" s="371" customFormat="1" ht="26.4" x14ac:dyDescent="0.3">
      <c r="A28" s="949">
        <v>40</v>
      </c>
      <c r="B28" s="1017"/>
      <c r="C28" s="948">
        <v>40</v>
      </c>
      <c r="D28" s="954" t="s">
        <v>297</v>
      </c>
      <c r="E28" s="954"/>
      <c r="F28" s="965"/>
      <c r="G28" s="966"/>
      <c r="H28" s="966"/>
      <c r="I28" s="966"/>
      <c r="J28" s="966"/>
      <c r="K28" s="966"/>
      <c r="L28" s="967"/>
      <c r="M28" s="968"/>
      <c r="N28" s="968"/>
      <c r="O28" s="969"/>
      <c r="P28" s="969"/>
      <c r="Q28" s="969"/>
      <c r="R28" s="969"/>
      <c r="S28" s="969"/>
      <c r="T28" s="969"/>
      <c r="U28" s="969"/>
      <c r="V28" s="969"/>
      <c r="W28" s="969"/>
      <c r="X28" s="969"/>
      <c r="Y28" s="969"/>
      <c r="Z28" s="969"/>
      <c r="AA28" s="969"/>
      <c r="AB28" s="969"/>
      <c r="AC28" s="969"/>
      <c r="AD28" s="968"/>
      <c r="AE28" s="968"/>
      <c r="AF28" s="968"/>
      <c r="AG28" s="968"/>
      <c r="AH28" s="968"/>
      <c r="AI28" s="968"/>
      <c r="AJ28" s="968"/>
      <c r="AK28" s="968"/>
      <c r="AL28" s="968"/>
      <c r="AM28" s="968"/>
      <c r="AN28" s="968"/>
      <c r="AO28" s="968"/>
      <c r="AP28" s="968"/>
      <c r="AQ28" s="968"/>
      <c r="AR28" s="968"/>
      <c r="AS28" s="968"/>
      <c r="AT28" s="968"/>
      <c r="AU28" s="968"/>
      <c r="AV28" s="968"/>
      <c r="AW28" s="968"/>
      <c r="AX28" s="968"/>
      <c r="AY28" s="968"/>
      <c r="AZ28" s="968"/>
      <c r="BA28" s="968"/>
      <c r="BB28" s="968"/>
      <c r="BC28" s="968"/>
      <c r="BD28" s="968"/>
      <c r="BE28" s="968"/>
      <c r="BF28" s="968"/>
      <c r="BG28" s="968"/>
      <c r="BH28" s="968"/>
      <c r="BI28" s="968"/>
      <c r="BJ28" s="968"/>
      <c r="BK28" s="915"/>
      <c r="BL28" s="915"/>
    </row>
    <row r="29" spans="1:64" s="371" customFormat="1" ht="26.4" x14ac:dyDescent="0.3">
      <c r="A29" s="949">
        <v>41</v>
      </c>
      <c r="B29" s="1017"/>
      <c r="C29" s="948">
        <v>41</v>
      </c>
      <c r="D29" s="954" t="s">
        <v>298</v>
      </c>
      <c r="E29" s="954"/>
      <c r="F29" s="965"/>
      <c r="G29" s="966"/>
      <c r="H29" s="966"/>
      <c r="I29" s="966"/>
      <c r="J29" s="966"/>
      <c r="K29" s="966"/>
      <c r="L29" s="967"/>
      <c r="M29" s="968"/>
      <c r="N29" s="968"/>
      <c r="O29" s="969"/>
      <c r="P29" s="969"/>
      <c r="Q29" s="969"/>
      <c r="R29" s="969"/>
      <c r="S29" s="969"/>
      <c r="T29" s="969"/>
      <c r="U29" s="969"/>
      <c r="V29" s="969"/>
      <c r="W29" s="969"/>
      <c r="X29" s="969"/>
      <c r="Y29" s="969"/>
      <c r="Z29" s="969"/>
      <c r="AA29" s="969"/>
      <c r="AB29" s="969"/>
      <c r="AC29" s="969"/>
      <c r="AD29" s="968"/>
      <c r="AE29" s="968"/>
      <c r="AF29" s="968"/>
      <c r="AG29" s="968"/>
      <c r="AH29" s="968"/>
      <c r="AI29" s="968"/>
      <c r="AJ29" s="968"/>
      <c r="AK29" s="968"/>
      <c r="AL29" s="968"/>
      <c r="AM29" s="968"/>
      <c r="AN29" s="968"/>
      <c r="AO29" s="968"/>
      <c r="AP29" s="968"/>
      <c r="AQ29" s="968"/>
      <c r="AR29" s="968"/>
      <c r="AS29" s="968"/>
      <c r="AT29" s="968"/>
      <c r="AU29" s="968"/>
      <c r="AV29" s="968"/>
      <c r="AW29" s="968"/>
      <c r="AX29" s="968"/>
      <c r="AY29" s="968"/>
      <c r="AZ29" s="968"/>
      <c r="BA29" s="968"/>
      <c r="BB29" s="968"/>
      <c r="BC29" s="968"/>
      <c r="BD29" s="968"/>
      <c r="BE29" s="968"/>
      <c r="BF29" s="968"/>
      <c r="BG29" s="968"/>
      <c r="BH29" s="968"/>
      <c r="BI29" s="968"/>
      <c r="BJ29" s="968"/>
      <c r="BK29" s="915"/>
      <c r="BL29" s="915"/>
    </row>
    <row r="30" spans="1:64" s="371" customFormat="1" x14ac:dyDescent="0.3">
      <c r="A30" s="949">
        <v>43</v>
      </c>
      <c r="B30" s="1017"/>
      <c r="C30" s="948">
        <v>43</v>
      </c>
      <c r="D30" s="998" t="e">
        <v>#VALUE!</v>
      </c>
      <c r="E30" s="998"/>
      <c r="F30" s="965"/>
      <c r="G30" s="966"/>
      <c r="H30" s="966"/>
      <c r="I30" s="966"/>
      <c r="J30" s="966"/>
      <c r="K30" s="966"/>
      <c r="L30" s="967"/>
      <c r="M30" s="968"/>
      <c r="N30" s="968"/>
      <c r="O30" s="969"/>
      <c r="P30" s="969"/>
      <c r="Q30" s="969"/>
      <c r="R30" s="969"/>
      <c r="S30" s="969"/>
      <c r="T30" s="969"/>
      <c r="U30" s="969"/>
      <c r="V30" s="969"/>
      <c r="W30" s="969"/>
      <c r="X30" s="969"/>
      <c r="Y30" s="969"/>
      <c r="Z30" s="969"/>
      <c r="AA30" s="969"/>
      <c r="AB30" s="969"/>
      <c r="AC30" s="969"/>
      <c r="AD30" s="968"/>
      <c r="AE30" s="968"/>
      <c r="AF30" s="968"/>
      <c r="AG30" s="968"/>
      <c r="AH30" s="968"/>
      <c r="AI30" s="968"/>
      <c r="AJ30" s="968"/>
      <c r="AK30" s="968"/>
      <c r="AL30" s="968"/>
      <c r="AM30" s="968"/>
      <c r="AN30" s="968"/>
      <c r="AO30" s="968"/>
      <c r="AP30" s="968"/>
      <c r="AQ30" s="968"/>
      <c r="AR30" s="968"/>
      <c r="AS30" s="968"/>
      <c r="AT30" s="968"/>
      <c r="AU30" s="968"/>
      <c r="AV30" s="968"/>
      <c r="AW30" s="968"/>
      <c r="AX30" s="968"/>
      <c r="AY30" s="968"/>
      <c r="AZ30" s="968"/>
      <c r="BA30" s="968"/>
      <c r="BB30" s="968"/>
      <c r="BC30" s="968"/>
      <c r="BD30" s="968"/>
      <c r="BE30" s="968"/>
      <c r="BF30" s="968"/>
      <c r="BG30" s="968"/>
      <c r="BH30" s="968"/>
      <c r="BI30" s="968"/>
      <c r="BJ30" s="968"/>
      <c r="BK30" s="915"/>
      <c r="BL30" s="915"/>
    </row>
    <row r="31" spans="1:64" s="371" customFormat="1" x14ac:dyDescent="0.3">
      <c r="A31" s="949">
        <v>44</v>
      </c>
      <c r="B31" s="1017"/>
      <c r="C31" s="948">
        <v>44</v>
      </c>
      <c r="D31" s="998" t="e">
        <v>#VALUE!</v>
      </c>
      <c r="E31" s="998"/>
      <c r="F31" s="965"/>
      <c r="G31" s="966"/>
      <c r="H31" s="966"/>
      <c r="I31" s="966"/>
      <c r="J31" s="966"/>
      <c r="K31" s="966"/>
      <c r="L31" s="967"/>
      <c r="M31" s="968"/>
      <c r="N31" s="968"/>
      <c r="O31" s="969"/>
      <c r="P31" s="969"/>
      <c r="Q31" s="969"/>
      <c r="R31" s="969"/>
      <c r="S31" s="969"/>
      <c r="T31" s="969"/>
      <c r="U31" s="969"/>
      <c r="V31" s="969"/>
      <c r="W31" s="969"/>
      <c r="X31" s="969"/>
      <c r="Y31" s="969"/>
      <c r="Z31" s="969"/>
      <c r="AA31" s="969"/>
      <c r="AB31" s="969"/>
      <c r="AC31" s="969"/>
      <c r="AD31" s="968"/>
      <c r="AE31" s="968"/>
      <c r="AF31" s="968"/>
      <c r="AG31" s="968"/>
      <c r="AH31" s="968"/>
      <c r="AI31" s="968"/>
      <c r="AJ31" s="968"/>
      <c r="AK31" s="968"/>
      <c r="AL31" s="968"/>
      <c r="AM31" s="968"/>
      <c r="AN31" s="968"/>
      <c r="AO31" s="968"/>
      <c r="AP31" s="968"/>
      <c r="AQ31" s="968"/>
      <c r="AR31" s="968"/>
      <c r="AS31" s="968"/>
      <c r="AT31" s="968"/>
      <c r="AU31" s="968"/>
      <c r="AV31" s="968"/>
      <c r="AW31" s="968"/>
      <c r="AX31" s="968"/>
      <c r="AY31" s="968"/>
      <c r="AZ31" s="968"/>
      <c r="BA31" s="968"/>
      <c r="BB31" s="968"/>
      <c r="BC31" s="968"/>
      <c r="BD31" s="968"/>
      <c r="BE31" s="968"/>
      <c r="BF31" s="968"/>
      <c r="BG31" s="968"/>
      <c r="BH31" s="968"/>
      <c r="BI31" s="968"/>
      <c r="BJ31" s="968"/>
      <c r="BK31" s="915"/>
      <c r="BL31" s="915"/>
    </row>
    <row r="32" spans="1:64" s="371" customFormat="1" x14ac:dyDescent="0.3">
      <c r="A32" s="949">
        <v>45</v>
      </c>
      <c r="B32" s="1017"/>
      <c r="C32" s="948">
        <v>45</v>
      </c>
      <c r="D32" s="998" t="e">
        <v>#VALUE!</v>
      </c>
      <c r="E32" s="998"/>
      <c r="F32" s="965"/>
      <c r="G32" s="966"/>
      <c r="H32" s="966"/>
      <c r="I32" s="966"/>
      <c r="J32" s="966"/>
      <c r="K32" s="966"/>
      <c r="L32" s="967"/>
      <c r="M32" s="968"/>
      <c r="N32" s="968"/>
      <c r="O32" s="969"/>
      <c r="P32" s="969"/>
      <c r="Q32" s="969"/>
      <c r="R32" s="969"/>
      <c r="S32" s="969"/>
      <c r="T32" s="969"/>
      <c r="U32" s="969"/>
      <c r="V32" s="969"/>
      <c r="W32" s="969"/>
      <c r="X32" s="969"/>
      <c r="Y32" s="969"/>
      <c r="Z32" s="969"/>
      <c r="AA32" s="969"/>
      <c r="AB32" s="969"/>
      <c r="AC32" s="969"/>
      <c r="AD32" s="968"/>
      <c r="AE32" s="968"/>
      <c r="AF32" s="968"/>
      <c r="AG32" s="968"/>
      <c r="AH32" s="968"/>
      <c r="AI32" s="968"/>
      <c r="AJ32" s="968"/>
      <c r="AK32" s="968"/>
      <c r="AL32" s="968"/>
      <c r="AM32" s="968"/>
      <c r="AN32" s="968"/>
      <c r="AO32" s="968"/>
      <c r="AP32" s="968"/>
      <c r="AQ32" s="968"/>
      <c r="AR32" s="968"/>
      <c r="AS32" s="968"/>
      <c r="AT32" s="968"/>
      <c r="AU32" s="968"/>
      <c r="AV32" s="968"/>
      <c r="AW32" s="968"/>
      <c r="AX32" s="968"/>
      <c r="AY32" s="968"/>
      <c r="AZ32" s="968"/>
      <c r="BA32" s="968"/>
      <c r="BB32" s="968"/>
      <c r="BC32" s="968"/>
      <c r="BD32" s="968"/>
      <c r="BE32" s="968"/>
      <c r="BF32" s="968"/>
      <c r="BG32" s="968"/>
      <c r="BH32" s="968"/>
      <c r="BI32" s="968"/>
      <c r="BJ32" s="968"/>
      <c r="BK32" s="915"/>
      <c r="BL32" s="915"/>
    </row>
    <row r="33" spans="1:64" s="371" customFormat="1" ht="39.6" x14ac:dyDescent="0.3">
      <c r="A33" s="949">
        <v>46</v>
      </c>
      <c r="B33" s="1017"/>
      <c r="C33" s="948">
        <v>46</v>
      </c>
      <c r="D33" s="954" t="s">
        <v>1050</v>
      </c>
      <c r="E33" s="954"/>
      <c r="F33" s="965"/>
      <c r="G33" s="966"/>
      <c r="H33" s="966"/>
      <c r="I33" s="966"/>
      <c r="J33" s="966"/>
      <c r="K33" s="966"/>
      <c r="L33" s="967"/>
      <c r="M33" s="968"/>
      <c r="N33" s="968"/>
      <c r="O33" s="969"/>
      <c r="P33" s="969"/>
      <c r="Q33" s="969"/>
      <c r="R33" s="969"/>
      <c r="S33" s="969"/>
      <c r="T33" s="969"/>
      <c r="U33" s="969"/>
      <c r="V33" s="969"/>
      <c r="W33" s="969"/>
      <c r="X33" s="969"/>
      <c r="Y33" s="969"/>
      <c r="Z33" s="969"/>
      <c r="AA33" s="969"/>
      <c r="AB33" s="969"/>
      <c r="AC33" s="969"/>
      <c r="AD33" s="968"/>
      <c r="AE33" s="968"/>
      <c r="AF33" s="968"/>
      <c r="AG33" s="968"/>
      <c r="AH33" s="968"/>
      <c r="AI33" s="968"/>
      <c r="AJ33" s="968"/>
      <c r="AK33" s="968"/>
      <c r="AL33" s="968"/>
      <c r="AM33" s="968"/>
      <c r="AN33" s="968"/>
      <c r="AO33" s="968"/>
      <c r="AP33" s="968"/>
      <c r="AQ33" s="968"/>
      <c r="AR33" s="968"/>
      <c r="AS33" s="968"/>
      <c r="AT33" s="968"/>
      <c r="AU33" s="968"/>
      <c r="AV33" s="968"/>
      <c r="AW33" s="968"/>
      <c r="AX33" s="968"/>
      <c r="AY33" s="968"/>
      <c r="AZ33" s="968"/>
      <c r="BA33" s="968"/>
      <c r="BB33" s="968"/>
      <c r="BC33" s="968"/>
      <c r="BD33" s="968"/>
      <c r="BE33" s="968"/>
      <c r="BF33" s="968"/>
      <c r="BG33" s="968"/>
      <c r="BH33" s="968"/>
      <c r="BI33" s="968"/>
      <c r="BJ33" s="968"/>
      <c r="BK33" s="915"/>
      <c r="BL33" s="915"/>
    </row>
    <row r="34" spans="1:64" s="371" customFormat="1" x14ac:dyDescent="0.3">
      <c r="A34" s="949">
        <v>47</v>
      </c>
      <c r="B34" s="1017"/>
      <c r="C34" s="948">
        <v>47</v>
      </c>
      <c r="D34" s="953" t="s">
        <v>379</v>
      </c>
      <c r="E34" s="953"/>
      <c r="F34" s="965"/>
      <c r="G34" s="966"/>
      <c r="H34" s="966"/>
      <c r="I34" s="966"/>
      <c r="J34" s="966"/>
      <c r="K34" s="966"/>
      <c r="L34" s="967"/>
      <c r="M34" s="968"/>
      <c r="N34" s="968"/>
      <c r="O34" s="969"/>
      <c r="P34" s="969"/>
      <c r="Q34" s="969"/>
      <c r="R34" s="969"/>
      <c r="S34" s="969"/>
      <c r="T34" s="969"/>
      <c r="U34" s="969"/>
      <c r="V34" s="969"/>
      <c r="W34" s="969"/>
      <c r="X34" s="969"/>
      <c r="Y34" s="969"/>
      <c r="Z34" s="969"/>
      <c r="AA34" s="969"/>
      <c r="AB34" s="969"/>
      <c r="AC34" s="969"/>
      <c r="AD34" s="968"/>
      <c r="AE34" s="968"/>
      <c r="AF34" s="968"/>
      <c r="AG34" s="968"/>
      <c r="AH34" s="968"/>
      <c r="AI34" s="968"/>
      <c r="AJ34" s="968"/>
      <c r="AK34" s="968"/>
      <c r="AL34" s="968"/>
      <c r="AM34" s="968"/>
      <c r="AN34" s="968"/>
      <c r="AO34" s="968"/>
      <c r="AP34" s="968"/>
      <c r="AQ34" s="968"/>
      <c r="AR34" s="968"/>
      <c r="AS34" s="968"/>
      <c r="AT34" s="968"/>
      <c r="AU34" s="968"/>
      <c r="AV34" s="968"/>
      <c r="AW34" s="968"/>
      <c r="AX34" s="968"/>
      <c r="AY34" s="968"/>
      <c r="AZ34" s="968"/>
      <c r="BA34" s="968"/>
      <c r="BB34" s="968"/>
      <c r="BC34" s="968"/>
      <c r="BD34" s="968"/>
      <c r="BE34" s="968"/>
      <c r="BF34" s="968"/>
      <c r="BG34" s="968"/>
      <c r="BH34" s="968"/>
      <c r="BI34" s="968"/>
      <c r="BJ34" s="968"/>
      <c r="BK34" s="915"/>
      <c r="BL34" s="915"/>
    </row>
    <row r="35" spans="1:64" s="371" customFormat="1" x14ac:dyDescent="0.3">
      <c r="A35" s="949">
        <v>48</v>
      </c>
      <c r="B35" s="1017"/>
      <c r="C35" s="948">
        <v>48</v>
      </c>
      <c r="D35" s="953" t="s">
        <v>123</v>
      </c>
      <c r="E35" s="953"/>
      <c r="F35" s="965"/>
      <c r="G35" s="966"/>
      <c r="H35" s="966"/>
      <c r="I35" s="966"/>
      <c r="J35" s="966"/>
      <c r="K35" s="966"/>
      <c r="L35" s="967"/>
      <c r="M35" s="968"/>
      <c r="N35" s="968"/>
      <c r="O35" s="969"/>
      <c r="P35" s="969"/>
      <c r="Q35" s="969"/>
      <c r="R35" s="969"/>
      <c r="S35" s="969"/>
      <c r="T35" s="969"/>
      <c r="U35" s="969"/>
      <c r="V35" s="969"/>
      <c r="W35" s="969"/>
      <c r="X35" s="969"/>
      <c r="Y35" s="969"/>
      <c r="Z35" s="969"/>
      <c r="AA35" s="969"/>
      <c r="AB35" s="969"/>
      <c r="AC35" s="969"/>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8"/>
      <c r="AZ35" s="968"/>
      <c r="BA35" s="968"/>
      <c r="BB35" s="968"/>
      <c r="BC35" s="968"/>
      <c r="BD35" s="968"/>
      <c r="BE35" s="968"/>
      <c r="BF35" s="968"/>
      <c r="BG35" s="968"/>
      <c r="BH35" s="968"/>
      <c r="BI35" s="968"/>
      <c r="BJ35" s="968"/>
      <c r="BK35" s="915"/>
      <c r="BL35" s="915"/>
    </row>
    <row r="36" spans="1:64" s="371" customFormat="1" x14ac:dyDescent="0.3">
      <c r="A36" s="949">
        <v>49</v>
      </c>
      <c r="B36" s="1017"/>
      <c r="C36" s="948">
        <v>49</v>
      </c>
      <c r="D36" s="998" t="e">
        <v>#VALUE!</v>
      </c>
      <c r="E36" s="998"/>
      <c r="F36" s="965"/>
      <c r="G36" s="966"/>
      <c r="H36" s="966"/>
      <c r="I36" s="966"/>
      <c r="J36" s="966"/>
      <c r="K36" s="966"/>
      <c r="L36" s="967"/>
      <c r="M36" s="968"/>
      <c r="N36" s="968"/>
      <c r="O36" s="969"/>
      <c r="P36" s="969"/>
      <c r="Q36" s="969"/>
      <c r="R36" s="969"/>
      <c r="S36" s="969"/>
      <c r="T36" s="969"/>
      <c r="U36" s="969"/>
      <c r="V36" s="969"/>
      <c r="W36" s="969"/>
      <c r="X36" s="969"/>
      <c r="Y36" s="969"/>
      <c r="Z36" s="969"/>
      <c r="AA36" s="969"/>
      <c r="AB36" s="969"/>
      <c r="AC36" s="969"/>
      <c r="AD36" s="968"/>
      <c r="AE36" s="968"/>
      <c r="AF36" s="968"/>
      <c r="AG36" s="968"/>
      <c r="AH36" s="968"/>
      <c r="AI36" s="968"/>
      <c r="AJ36" s="968"/>
      <c r="AK36" s="968"/>
      <c r="AL36" s="968"/>
      <c r="AM36" s="968"/>
      <c r="AN36" s="968"/>
      <c r="AO36" s="968"/>
      <c r="AP36" s="968"/>
      <c r="AQ36" s="968"/>
      <c r="AR36" s="968"/>
      <c r="AS36" s="968"/>
      <c r="AT36" s="968"/>
      <c r="AU36" s="968"/>
      <c r="AV36" s="968"/>
      <c r="AW36" s="968"/>
      <c r="AX36" s="968"/>
      <c r="AY36" s="968"/>
      <c r="AZ36" s="968"/>
      <c r="BA36" s="968"/>
      <c r="BB36" s="968"/>
      <c r="BC36" s="968"/>
      <c r="BD36" s="968"/>
      <c r="BE36" s="968"/>
      <c r="BF36" s="968"/>
      <c r="BG36" s="968"/>
      <c r="BH36" s="968"/>
      <c r="BI36" s="968"/>
      <c r="BJ36" s="968"/>
      <c r="BK36" s="915"/>
      <c r="BL36" s="915"/>
    </row>
    <row r="37" spans="1:64" s="371" customFormat="1" x14ac:dyDescent="0.3">
      <c r="A37" s="949">
        <v>50</v>
      </c>
      <c r="B37" s="1017"/>
      <c r="C37" s="948">
        <v>50</v>
      </c>
      <c r="D37" s="998" t="e">
        <v>#VALUE!</v>
      </c>
      <c r="E37" s="998"/>
      <c r="F37" s="965"/>
      <c r="G37" s="966"/>
      <c r="H37" s="966"/>
      <c r="I37" s="966"/>
      <c r="J37" s="966"/>
      <c r="K37" s="966"/>
      <c r="L37" s="967"/>
      <c r="M37" s="968"/>
      <c r="N37" s="968"/>
      <c r="O37" s="969"/>
      <c r="P37" s="969"/>
      <c r="Q37" s="969"/>
      <c r="R37" s="969"/>
      <c r="S37" s="969"/>
      <c r="T37" s="969"/>
      <c r="U37" s="969"/>
      <c r="V37" s="969"/>
      <c r="W37" s="969"/>
      <c r="X37" s="969"/>
      <c r="Y37" s="969"/>
      <c r="Z37" s="969"/>
      <c r="AA37" s="969"/>
      <c r="AB37" s="969"/>
      <c r="AC37" s="969"/>
      <c r="AD37" s="968"/>
      <c r="AE37" s="968"/>
      <c r="AF37" s="968"/>
      <c r="AG37" s="968"/>
      <c r="AH37" s="968"/>
      <c r="AI37" s="968"/>
      <c r="AJ37" s="968"/>
      <c r="AK37" s="968"/>
      <c r="AL37" s="968"/>
      <c r="AM37" s="968"/>
      <c r="AN37" s="968"/>
      <c r="AO37" s="968"/>
      <c r="AP37" s="968"/>
      <c r="AQ37" s="968"/>
      <c r="AR37" s="968"/>
      <c r="AS37" s="968"/>
      <c r="AT37" s="968"/>
      <c r="AU37" s="968"/>
      <c r="AV37" s="968"/>
      <c r="AW37" s="968"/>
      <c r="AX37" s="968"/>
      <c r="AY37" s="968"/>
      <c r="AZ37" s="968"/>
      <c r="BA37" s="968"/>
      <c r="BB37" s="968"/>
      <c r="BC37" s="968"/>
      <c r="BD37" s="968"/>
      <c r="BE37" s="968"/>
      <c r="BF37" s="968"/>
      <c r="BG37" s="968"/>
      <c r="BH37" s="968"/>
      <c r="BI37" s="968"/>
      <c r="BJ37" s="968"/>
      <c r="BK37" s="915"/>
      <c r="BL37" s="915"/>
    </row>
    <row r="38" spans="1:64" s="371" customFormat="1" x14ac:dyDescent="0.3">
      <c r="A38" s="949">
        <v>51</v>
      </c>
      <c r="B38" s="1017"/>
      <c r="C38" s="948">
        <v>51</v>
      </c>
      <c r="D38" s="998" t="e">
        <v>#VALUE!</v>
      </c>
      <c r="E38" s="998"/>
      <c r="F38" s="965"/>
      <c r="G38" s="966"/>
      <c r="H38" s="966"/>
      <c r="I38" s="966"/>
      <c r="J38" s="966"/>
      <c r="K38" s="966"/>
      <c r="L38" s="967"/>
      <c r="M38" s="968"/>
      <c r="N38" s="968"/>
      <c r="O38" s="969"/>
      <c r="P38" s="969"/>
      <c r="Q38" s="969"/>
      <c r="R38" s="969"/>
      <c r="S38" s="969"/>
      <c r="T38" s="969"/>
      <c r="U38" s="969"/>
      <c r="V38" s="969"/>
      <c r="W38" s="969"/>
      <c r="X38" s="969"/>
      <c r="Y38" s="969"/>
      <c r="Z38" s="969"/>
      <c r="AA38" s="969"/>
      <c r="AB38" s="969"/>
      <c r="AC38" s="969"/>
      <c r="AD38" s="968"/>
      <c r="AE38" s="968"/>
      <c r="AF38" s="968"/>
      <c r="AG38" s="968"/>
      <c r="AH38" s="968"/>
      <c r="AI38" s="968"/>
      <c r="AJ38" s="968"/>
      <c r="AK38" s="968"/>
      <c r="AL38" s="968"/>
      <c r="AM38" s="968"/>
      <c r="AN38" s="968"/>
      <c r="AO38" s="968"/>
      <c r="AP38" s="968"/>
      <c r="AQ38" s="968"/>
      <c r="AR38" s="968"/>
      <c r="AS38" s="968"/>
      <c r="AT38" s="968"/>
      <c r="AU38" s="968"/>
      <c r="AV38" s="968"/>
      <c r="AW38" s="968"/>
      <c r="AX38" s="968"/>
      <c r="AY38" s="968"/>
      <c r="AZ38" s="968"/>
      <c r="BA38" s="968"/>
      <c r="BB38" s="968"/>
      <c r="BC38" s="968"/>
      <c r="BD38" s="968"/>
      <c r="BE38" s="968"/>
      <c r="BF38" s="968"/>
      <c r="BG38" s="968"/>
      <c r="BH38" s="968"/>
      <c r="BI38" s="968"/>
      <c r="BJ38" s="968"/>
      <c r="BK38" s="915"/>
      <c r="BL38" s="915"/>
    </row>
    <row r="39" spans="1:64" s="371" customFormat="1" ht="28.8" x14ac:dyDescent="0.3">
      <c r="A39" s="949">
        <v>52</v>
      </c>
      <c r="B39" s="1017"/>
      <c r="C39" s="948">
        <v>52</v>
      </c>
      <c r="D39" s="953" t="s">
        <v>238</v>
      </c>
      <c r="E39" s="953"/>
      <c r="F39" s="965"/>
      <c r="G39" s="966"/>
      <c r="H39" s="966"/>
      <c r="I39" s="966"/>
      <c r="J39" s="966"/>
      <c r="K39" s="966"/>
      <c r="L39" s="967"/>
      <c r="M39" s="968"/>
      <c r="N39" s="968"/>
      <c r="O39" s="969"/>
      <c r="P39" s="969"/>
      <c r="Q39" s="969"/>
      <c r="R39" s="969"/>
      <c r="S39" s="969"/>
      <c r="T39" s="969"/>
      <c r="U39" s="969"/>
      <c r="V39" s="969"/>
      <c r="W39" s="969"/>
      <c r="X39" s="969"/>
      <c r="Y39" s="969"/>
      <c r="Z39" s="969"/>
      <c r="AA39" s="969"/>
      <c r="AB39" s="969"/>
      <c r="AC39" s="969"/>
      <c r="AD39" s="968"/>
      <c r="AE39" s="968"/>
      <c r="AF39" s="968"/>
      <c r="AG39" s="968"/>
      <c r="AH39" s="968"/>
      <c r="AI39" s="968"/>
      <c r="AJ39" s="968"/>
      <c r="AK39" s="968"/>
      <c r="AL39" s="968"/>
      <c r="AM39" s="968"/>
      <c r="AN39" s="968"/>
      <c r="AO39" s="968"/>
      <c r="AP39" s="968"/>
      <c r="AQ39" s="968"/>
      <c r="AR39" s="968"/>
      <c r="AS39" s="968"/>
      <c r="AT39" s="968"/>
      <c r="AU39" s="968"/>
      <c r="AV39" s="968"/>
      <c r="AW39" s="968"/>
      <c r="AX39" s="968"/>
      <c r="AY39" s="968"/>
      <c r="AZ39" s="968"/>
      <c r="BA39" s="968"/>
      <c r="BB39" s="968"/>
      <c r="BC39" s="968"/>
      <c r="BD39" s="968"/>
      <c r="BE39" s="968"/>
      <c r="BF39" s="968"/>
      <c r="BG39" s="968"/>
      <c r="BH39" s="968"/>
      <c r="BI39" s="968"/>
      <c r="BJ39" s="968"/>
      <c r="BK39" s="915"/>
      <c r="BL39" s="915"/>
    </row>
    <row r="40" spans="1:64" s="371" customFormat="1" x14ac:dyDescent="0.3">
      <c r="A40" s="949">
        <v>53</v>
      </c>
      <c r="B40" s="1017"/>
      <c r="C40" s="948">
        <v>53</v>
      </c>
      <c r="D40" s="953" t="s">
        <v>1051</v>
      </c>
      <c r="E40" s="953"/>
      <c r="F40" s="965"/>
      <c r="G40" s="966"/>
      <c r="H40" s="966"/>
      <c r="I40" s="966"/>
      <c r="J40" s="966"/>
      <c r="K40" s="966"/>
      <c r="L40" s="967"/>
      <c r="M40" s="968"/>
      <c r="N40" s="968"/>
      <c r="O40" s="969"/>
      <c r="P40" s="969"/>
      <c r="Q40" s="969"/>
      <c r="R40" s="969"/>
      <c r="S40" s="969"/>
      <c r="T40" s="969"/>
      <c r="U40" s="969"/>
      <c r="V40" s="969"/>
      <c r="W40" s="969"/>
      <c r="X40" s="969"/>
      <c r="Y40" s="969"/>
      <c r="Z40" s="969"/>
      <c r="AA40" s="969"/>
      <c r="AB40" s="969"/>
      <c r="AC40" s="969"/>
      <c r="AD40" s="968"/>
      <c r="AE40" s="968"/>
      <c r="AF40" s="968"/>
      <c r="AG40" s="968"/>
      <c r="AH40" s="968"/>
      <c r="AI40" s="968"/>
      <c r="AJ40" s="968"/>
      <c r="AK40" s="968"/>
      <c r="AL40" s="968"/>
      <c r="AM40" s="968"/>
      <c r="AN40" s="968"/>
      <c r="AO40" s="968"/>
      <c r="AP40" s="968"/>
      <c r="AQ40" s="968"/>
      <c r="AR40" s="968"/>
      <c r="AS40" s="968"/>
      <c r="AT40" s="968"/>
      <c r="AU40" s="968"/>
      <c r="AV40" s="968"/>
      <c r="AW40" s="968"/>
      <c r="AX40" s="968"/>
      <c r="AY40" s="968"/>
      <c r="AZ40" s="968"/>
      <c r="BA40" s="968"/>
      <c r="BB40" s="968"/>
      <c r="BC40" s="968"/>
      <c r="BD40" s="968"/>
      <c r="BE40" s="968"/>
      <c r="BF40" s="968"/>
      <c r="BG40" s="968"/>
      <c r="BH40" s="968"/>
      <c r="BI40" s="968"/>
      <c r="BJ40" s="968"/>
      <c r="BK40" s="915"/>
      <c r="BL40" s="915"/>
    </row>
    <row r="41" spans="1:64" s="371" customFormat="1" x14ac:dyDescent="0.3">
      <c r="A41" s="949">
        <v>54</v>
      </c>
      <c r="B41" s="1017"/>
      <c r="C41" s="948">
        <v>54</v>
      </c>
      <c r="D41" s="953" t="s">
        <v>1052</v>
      </c>
      <c r="E41" s="953"/>
      <c r="F41" s="965"/>
      <c r="G41" s="966"/>
      <c r="H41" s="966"/>
      <c r="I41" s="966"/>
      <c r="J41" s="966"/>
      <c r="K41" s="966"/>
      <c r="L41" s="967"/>
      <c r="M41" s="968"/>
      <c r="N41" s="968"/>
      <c r="O41" s="969"/>
      <c r="P41" s="969"/>
      <c r="Q41" s="969"/>
      <c r="R41" s="969"/>
      <c r="S41" s="969"/>
      <c r="T41" s="969"/>
      <c r="U41" s="969"/>
      <c r="V41" s="969"/>
      <c r="W41" s="969"/>
      <c r="X41" s="969"/>
      <c r="Y41" s="969"/>
      <c r="Z41" s="969"/>
      <c r="AA41" s="969"/>
      <c r="AB41" s="969"/>
      <c r="AC41" s="969"/>
      <c r="AD41" s="968"/>
      <c r="AE41" s="968"/>
      <c r="AF41" s="968"/>
      <c r="AG41" s="968"/>
      <c r="AH41" s="968"/>
      <c r="AI41" s="968"/>
      <c r="AJ41" s="968"/>
      <c r="AK41" s="968"/>
      <c r="AL41" s="968"/>
      <c r="AM41" s="968"/>
      <c r="AN41" s="968"/>
      <c r="AO41" s="968"/>
      <c r="AP41" s="968"/>
      <c r="AQ41" s="968"/>
      <c r="AR41" s="968"/>
      <c r="AS41" s="968"/>
      <c r="AT41" s="968"/>
      <c r="AU41" s="968"/>
      <c r="AV41" s="968"/>
      <c r="AW41" s="968"/>
      <c r="AX41" s="968"/>
      <c r="AY41" s="968"/>
      <c r="AZ41" s="968"/>
      <c r="BA41" s="968"/>
      <c r="BB41" s="968"/>
      <c r="BC41" s="968"/>
      <c r="BD41" s="968"/>
      <c r="BE41" s="968"/>
      <c r="BF41" s="968"/>
      <c r="BG41" s="968"/>
      <c r="BH41" s="968"/>
      <c r="BI41" s="968"/>
      <c r="BJ41" s="968"/>
      <c r="BK41" s="915"/>
      <c r="BL41" s="915"/>
    </row>
    <row r="42" spans="1:64" s="371" customFormat="1" ht="28.8" x14ac:dyDescent="0.3">
      <c r="A42" s="949">
        <v>55</v>
      </c>
      <c r="B42" s="1017"/>
      <c r="C42" s="948">
        <v>55</v>
      </c>
      <c r="D42" s="953" t="s">
        <v>248</v>
      </c>
      <c r="E42" s="953"/>
      <c r="F42" s="965"/>
      <c r="G42" s="966"/>
      <c r="H42" s="966"/>
      <c r="I42" s="966"/>
      <c r="J42" s="966"/>
      <c r="K42" s="966"/>
      <c r="L42" s="967"/>
      <c r="M42" s="968"/>
      <c r="N42" s="968"/>
      <c r="O42" s="969"/>
      <c r="P42" s="969"/>
      <c r="Q42" s="969"/>
      <c r="R42" s="969"/>
      <c r="S42" s="969"/>
      <c r="T42" s="969"/>
      <c r="U42" s="969"/>
      <c r="V42" s="969"/>
      <c r="W42" s="969"/>
      <c r="X42" s="969"/>
      <c r="Y42" s="969"/>
      <c r="Z42" s="969"/>
      <c r="AA42" s="969"/>
      <c r="AB42" s="969"/>
      <c r="AC42" s="969"/>
      <c r="AD42" s="968"/>
      <c r="AE42" s="968"/>
      <c r="AF42" s="968"/>
      <c r="AG42" s="968"/>
      <c r="AH42" s="968"/>
      <c r="AI42" s="968"/>
      <c r="AJ42" s="968"/>
      <c r="AK42" s="968"/>
      <c r="AL42" s="968"/>
      <c r="AM42" s="968"/>
      <c r="AN42" s="968"/>
      <c r="AO42" s="968"/>
      <c r="AP42" s="968"/>
      <c r="AQ42" s="968"/>
      <c r="AR42" s="968"/>
      <c r="AS42" s="968"/>
      <c r="AT42" s="968"/>
      <c r="AU42" s="968"/>
      <c r="AV42" s="968"/>
      <c r="AW42" s="968"/>
      <c r="AX42" s="968"/>
      <c r="AY42" s="968"/>
      <c r="AZ42" s="968"/>
      <c r="BA42" s="968"/>
      <c r="BB42" s="968"/>
      <c r="BC42" s="968"/>
      <c r="BD42" s="968"/>
      <c r="BE42" s="968"/>
      <c r="BF42" s="968"/>
      <c r="BG42" s="968"/>
      <c r="BH42" s="968"/>
      <c r="BI42" s="968"/>
      <c r="BJ42" s="968"/>
      <c r="BK42" s="915"/>
      <c r="BL42" s="915"/>
    </row>
    <row r="43" spans="1:64" s="372" customFormat="1" x14ac:dyDescent="0.3">
      <c r="A43" s="949">
        <v>61</v>
      </c>
      <c r="B43" s="1017"/>
      <c r="C43" s="948">
        <v>61</v>
      </c>
      <c r="D43" s="998" t="e">
        <v>#VALUE!</v>
      </c>
      <c r="E43" s="998"/>
      <c r="F43" s="965"/>
      <c r="G43" s="966"/>
      <c r="H43" s="966"/>
      <c r="I43" s="966"/>
      <c r="J43" s="966"/>
      <c r="K43" s="966"/>
      <c r="L43" s="967"/>
      <c r="M43" s="968"/>
      <c r="N43" s="968"/>
      <c r="O43" s="969"/>
      <c r="P43" s="969"/>
      <c r="Q43" s="969"/>
      <c r="R43" s="969"/>
      <c r="S43" s="969"/>
      <c r="T43" s="969"/>
      <c r="U43" s="969"/>
      <c r="V43" s="969"/>
      <c r="W43" s="969"/>
      <c r="X43" s="969"/>
      <c r="Y43" s="969"/>
      <c r="Z43" s="969"/>
      <c r="AA43" s="969"/>
      <c r="AB43" s="969"/>
      <c r="AC43" s="969"/>
      <c r="AD43" s="968"/>
      <c r="AE43" s="968"/>
      <c r="AF43" s="968"/>
      <c r="AG43" s="968"/>
      <c r="AH43" s="968"/>
      <c r="AI43" s="968"/>
      <c r="AJ43" s="968"/>
      <c r="AK43" s="968"/>
      <c r="AL43" s="968"/>
      <c r="AM43" s="968"/>
      <c r="AN43" s="968"/>
      <c r="AO43" s="968"/>
      <c r="AP43" s="968"/>
      <c r="AQ43" s="968"/>
      <c r="AR43" s="968"/>
      <c r="AS43" s="968"/>
      <c r="AT43" s="968"/>
      <c r="AU43" s="968"/>
      <c r="AV43" s="968"/>
      <c r="AW43" s="968"/>
      <c r="AX43" s="968"/>
      <c r="AY43" s="968"/>
      <c r="AZ43" s="968"/>
      <c r="BA43" s="968"/>
      <c r="BB43" s="968"/>
      <c r="BC43" s="968"/>
      <c r="BD43" s="968"/>
      <c r="BE43" s="968"/>
      <c r="BF43" s="968"/>
      <c r="BG43" s="968"/>
      <c r="BH43" s="968"/>
      <c r="BI43" s="968"/>
      <c r="BJ43" s="968"/>
      <c r="BK43" s="915"/>
      <c r="BL43" s="915"/>
    </row>
    <row r="44" spans="1:64" s="371" customFormat="1" x14ac:dyDescent="0.3">
      <c r="A44" s="949">
        <v>80</v>
      </c>
      <c r="B44" s="1017"/>
      <c r="C44" s="948">
        <v>80</v>
      </c>
      <c r="D44" s="998" t="e">
        <v>#VALUE!</v>
      </c>
      <c r="E44" s="998"/>
      <c r="F44" s="965"/>
      <c r="G44" s="966"/>
      <c r="H44" s="966"/>
      <c r="I44" s="966"/>
      <c r="J44" s="966"/>
      <c r="K44" s="966"/>
      <c r="L44" s="967"/>
      <c r="M44" s="968"/>
      <c r="N44" s="968"/>
      <c r="O44" s="969"/>
      <c r="P44" s="969"/>
      <c r="Q44" s="969"/>
      <c r="R44" s="969"/>
      <c r="S44" s="969"/>
      <c r="T44" s="969"/>
      <c r="U44" s="969"/>
      <c r="V44" s="969"/>
      <c r="W44" s="969"/>
      <c r="X44" s="969"/>
      <c r="Y44" s="969"/>
      <c r="Z44" s="969"/>
      <c r="AA44" s="969"/>
      <c r="AB44" s="969"/>
      <c r="AC44" s="969"/>
      <c r="AD44" s="968"/>
      <c r="AE44" s="968"/>
      <c r="AF44" s="968"/>
      <c r="AG44" s="968"/>
      <c r="AH44" s="968"/>
      <c r="AI44" s="968"/>
      <c r="AJ44" s="968"/>
      <c r="AK44" s="968"/>
      <c r="AL44" s="968"/>
      <c r="AM44" s="968"/>
      <c r="AN44" s="968"/>
      <c r="AO44" s="968"/>
      <c r="AP44" s="968"/>
      <c r="AQ44" s="968"/>
      <c r="AR44" s="968"/>
      <c r="AS44" s="968"/>
      <c r="AT44" s="968"/>
      <c r="AU44" s="968"/>
      <c r="AV44" s="968"/>
      <c r="AW44" s="968"/>
      <c r="AX44" s="968"/>
      <c r="AY44" s="968"/>
      <c r="AZ44" s="968"/>
      <c r="BA44" s="968"/>
      <c r="BB44" s="968"/>
      <c r="BC44" s="968"/>
      <c r="BD44" s="968"/>
      <c r="BE44" s="968"/>
      <c r="BF44" s="968"/>
      <c r="BG44" s="968"/>
      <c r="BH44" s="968"/>
      <c r="BI44" s="968"/>
      <c r="BJ44" s="968"/>
      <c r="BK44" s="915"/>
      <c r="BL44" s="915"/>
    </row>
    <row r="45" spans="1:64" s="371" customFormat="1" x14ac:dyDescent="0.3">
      <c r="A45" s="949">
        <v>81</v>
      </c>
      <c r="B45" s="1017"/>
      <c r="C45" s="948">
        <v>81</v>
      </c>
      <c r="D45" s="998" t="e">
        <v>#VALUE!</v>
      </c>
      <c r="E45" s="998"/>
      <c r="F45" s="965"/>
      <c r="G45" s="966"/>
      <c r="H45" s="966"/>
      <c r="I45" s="966"/>
      <c r="J45" s="966"/>
      <c r="K45" s="966"/>
      <c r="L45" s="967"/>
      <c r="M45" s="968"/>
      <c r="N45" s="968"/>
      <c r="O45" s="969"/>
      <c r="P45" s="969"/>
      <c r="Q45" s="969"/>
      <c r="R45" s="969"/>
      <c r="S45" s="969"/>
      <c r="T45" s="969"/>
      <c r="U45" s="969"/>
      <c r="V45" s="969"/>
      <c r="W45" s="969"/>
      <c r="X45" s="969"/>
      <c r="Y45" s="969"/>
      <c r="Z45" s="969"/>
      <c r="AA45" s="969"/>
      <c r="AB45" s="969"/>
      <c r="AC45" s="969"/>
      <c r="AD45" s="968"/>
      <c r="AE45" s="968"/>
      <c r="AF45" s="968"/>
      <c r="AG45" s="968"/>
      <c r="AH45" s="968"/>
      <c r="AI45" s="968"/>
      <c r="AJ45" s="968"/>
      <c r="AK45" s="968"/>
      <c r="AL45" s="968"/>
      <c r="AM45" s="968"/>
      <c r="AN45" s="968"/>
      <c r="AO45" s="968"/>
      <c r="AP45" s="968"/>
      <c r="AQ45" s="968"/>
      <c r="AR45" s="968"/>
      <c r="AS45" s="968"/>
      <c r="AT45" s="968"/>
      <c r="AU45" s="968"/>
      <c r="AV45" s="968"/>
      <c r="AW45" s="968"/>
      <c r="AX45" s="968"/>
      <c r="AY45" s="968"/>
      <c r="AZ45" s="968"/>
      <c r="BA45" s="968"/>
      <c r="BB45" s="968"/>
      <c r="BC45" s="968"/>
      <c r="BD45" s="968"/>
      <c r="BE45" s="968"/>
      <c r="BF45" s="968"/>
      <c r="BG45" s="968"/>
      <c r="BH45" s="968"/>
      <c r="BI45" s="968"/>
      <c r="BJ45" s="968"/>
      <c r="BK45" s="915"/>
      <c r="BL45" s="915"/>
    </row>
    <row r="46" spans="1:64" s="371" customFormat="1" x14ac:dyDescent="0.3">
      <c r="A46" s="949">
        <v>82</v>
      </c>
      <c r="B46" s="1017"/>
      <c r="C46" s="948">
        <v>82</v>
      </c>
      <c r="D46" s="998" t="e">
        <v>#VALUE!</v>
      </c>
      <c r="E46" s="998"/>
      <c r="F46" s="965"/>
      <c r="G46" s="966"/>
      <c r="H46" s="966"/>
      <c r="I46" s="966"/>
      <c r="J46" s="966"/>
      <c r="K46" s="966"/>
      <c r="L46" s="967"/>
      <c r="M46" s="968"/>
      <c r="N46" s="968"/>
      <c r="O46" s="969"/>
      <c r="P46" s="969"/>
      <c r="Q46" s="969"/>
      <c r="R46" s="969"/>
      <c r="S46" s="969"/>
      <c r="T46" s="969"/>
      <c r="U46" s="969"/>
      <c r="V46" s="969"/>
      <c r="W46" s="969"/>
      <c r="X46" s="969"/>
      <c r="Y46" s="969"/>
      <c r="Z46" s="969"/>
      <c r="AA46" s="969"/>
      <c r="AB46" s="969"/>
      <c r="AC46" s="969"/>
      <c r="AD46" s="968"/>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968"/>
      <c r="BD46" s="968"/>
      <c r="BE46" s="968"/>
      <c r="BF46" s="968"/>
      <c r="BG46" s="968"/>
      <c r="BH46" s="968"/>
      <c r="BI46" s="968"/>
      <c r="BJ46" s="968"/>
      <c r="BK46" s="915"/>
      <c r="BL46" s="915"/>
    </row>
    <row r="47" spans="1:64" s="371" customFormat="1" x14ac:dyDescent="0.3">
      <c r="A47" s="949">
        <v>83</v>
      </c>
      <c r="B47" s="1017"/>
      <c r="C47" s="948">
        <v>83</v>
      </c>
      <c r="D47" s="998" t="e">
        <v>#VALUE!</v>
      </c>
      <c r="E47" s="998"/>
      <c r="F47" s="965"/>
      <c r="G47" s="966"/>
      <c r="H47" s="966"/>
      <c r="I47" s="966"/>
      <c r="J47" s="966"/>
      <c r="K47" s="966"/>
      <c r="L47" s="967"/>
      <c r="M47" s="968"/>
      <c r="N47" s="968"/>
      <c r="O47" s="969"/>
      <c r="P47" s="969"/>
      <c r="Q47" s="969"/>
      <c r="R47" s="969"/>
      <c r="S47" s="969"/>
      <c r="T47" s="969"/>
      <c r="U47" s="969"/>
      <c r="V47" s="969"/>
      <c r="W47" s="969"/>
      <c r="X47" s="969"/>
      <c r="Y47" s="969"/>
      <c r="Z47" s="969"/>
      <c r="AA47" s="969"/>
      <c r="AB47" s="969"/>
      <c r="AC47" s="969"/>
      <c r="AD47" s="968"/>
      <c r="AE47" s="968"/>
      <c r="AF47" s="968"/>
      <c r="AG47" s="968"/>
      <c r="AH47" s="968"/>
      <c r="AI47" s="968"/>
      <c r="AJ47" s="968"/>
      <c r="AK47" s="968"/>
      <c r="AL47" s="968"/>
      <c r="AM47" s="968"/>
      <c r="AN47" s="968"/>
      <c r="AO47" s="968"/>
      <c r="AP47" s="968"/>
      <c r="AQ47" s="968"/>
      <c r="AR47" s="968"/>
      <c r="AS47" s="968"/>
      <c r="AT47" s="968"/>
      <c r="AU47" s="968"/>
      <c r="AV47" s="968"/>
      <c r="AW47" s="968"/>
      <c r="AX47" s="968"/>
      <c r="AY47" s="968"/>
      <c r="AZ47" s="968"/>
      <c r="BA47" s="968"/>
      <c r="BB47" s="968"/>
      <c r="BC47" s="968"/>
      <c r="BD47" s="968"/>
      <c r="BE47" s="968"/>
      <c r="BF47" s="968"/>
      <c r="BG47" s="968"/>
      <c r="BH47" s="968"/>
      <c r="BI47" s="968"/>
      <c r="BJ47" s="968"/>
      <c r="BK47" s="915"/>
      <c r="BL47" s="915"/>
    </row>
    <row r="48" spans="1:64" s="371" customFormat="1" x14ac:dyDescent="0.3">
      <c r="A48" s="949">
        <v>84</v>
      </c>
      <c r="B48" s="1017"/>
      <c r="C48" s="948">
        <v>84</v>
      </c>
      <c r="D48" s="998" t="e">
        <v>#VALUE!</v>
      </c>
      <c r="E48" s="998"/>
      <c r="F48" s="965"/>
      <c r="G48" s="966"/>
      <c r="H48" s="966"/>
      <c r="I48" s="966"/>
      <c r="J48" s="966"/>
      <c r="K48" s="966"/>
      <c r="L48" s="967"/>
      <c r="M48" s="968"/>
      <c r="N48" s="968"/>
      <c r="O48" s="969"/>
      <c r="P48" s="969"/>
      <c r="Q48" s="969"/>
      <c r="R48" s="969"/>
      <c r="S48" s="969"/>
      <c r="T48" s="969"/>
      <c r="U48" s="969"/>
      <c r="V48" s="969"/>
      <c r="W48" s="969"/>
      <c r="X48" s="969"/>
      <c r="Y48" s="969"/>
      <c r="Z48" s="969"/>
      <c r="AA48" s="969"/>
      <c r="AB48" s="969"/>
      <c r="AC48" s="969"/>
      <c r="AD48" s="968"/>
      <c r="AE48" s="968"/>
      <c r="AF48" s="968"/>
      <c r="AG48" s="968"/>
      <c r="AH48" s="968"/>
      <c r="AI48" s="968"/>
      <c r="AJ48" s="968"/>
      <c r="AK48" s="968"/>
      <c r="AL48" s="968"/>
      <c r="AM48" s="968"/>
      <c r="AN48" s="968"/>
      <c r="AO48" s="968"/>
      <c r="AP48" s="968"/>
      <c r="AQ48" s="968"/>
      <c r="AR48" s="968"/>
      <c r="AS48" s="968"/>
      <c r="AT48" s="968"/>
      <c r="AU48" s="968"/>
      <c r="AV48" s="968"/>
      <c r="AW48" s="968"/>
      <c r="AX48" s="968"/>
      <c r="AY48" s="968"/>
      <c r="AZ48" s="968"/>
      <c r="BA48" s="968"/>
      <c r="BB48" s="968"/>
      <c r="BC48" s="968"/>
      <c r="BD48" s="968"/>
      <c r="BE48" s="968"/>
      <c r="BF48" s="968"/>
      <c r="BG48" s="968"/>
      <c r="BH48" s="968"/>
      <c r="BI48" s="968"/>
      <c r="BJ48" s="968"/>
      <c r="BK48" s="915"/>
      <c r="BL48" s="915"/>
    </row>
    <row r="49" spans="1:64" s="371" customFormat="1" x14ac:dyDescent="0.3">
      <c r="A49" s="949">
        <v>85</v>
      </c>
      <c r="B49" s="1017"/>
      <c r="C49" s="948">
        <v>85</v>
      </c>
      <c r="D49" s="998" t="e">
        <v>#VALUE!</v>
      </c>
      <c r="E49" s="998"/>
      <c r="F49" s="965"/>
      <c r="G49" s="966"/>
      <c r="H49" s="966"/>
      <c r="I49" s="966"/>
      <c r="J49" s="966"/>
      <c r="K49" s="966"/>
      <c r="L49" s="967"/>
      <c r="M49" s="968"/>
      <c r="N49" s="968"/>
      <c r="O49" s="969"/>
      <c r="P49" s="969"/>
      <c r="Q49" s="969"/>
      <c r="R49" s="969"/>
      <c r="S49" s="969"/>
      <c r="T49" s="969"/>
      <c r="U49" s="969"/>
      <c r="V49" s="969"/>
      <c r="W49" s="969"/>
      <c r="X49" s="969"/>
      <c r="Y49" s="969"/>
      <c r="Z49" s="969"/>
      <c r="AA49" s="969"/>
      <c r="AB49" s="969"/>
      <c r="AC49" s="969"/>
      <c r="AD49" s="968"/>
      <c r="AE49" s="968"/>
      <c r="AF49" s="968"/>
      <c r="AG49" s="968"/>
      <c r="AH49" s="968"/>
      <c r="AI49" s="968"/>
      <c r="AJ49" s="968"/>
      <c r="AK49" s="968"/>
      <c r="AL49" s="968"/>
      <c r="AM49" s="968"/>
      <c r="AN49" s="968"/>
      <c r="AO49" s="968"/>
      <c r="AP49" s="968"/>
      <c r="AQ49" s="968"/>
      <c r="AR49" s="968"/>
      <c r="AS49" s="968"/>
      <c r="AT49" s="968"/>
      <c r="AU49" s="968"/>
      <c r="AV49" s="968"/>
      <c r="AW49" s="968"/>
      <c r="AX49" s="968"/>
      <c r="AY49" s="968"/>
      <c r="AZ49" s="968"/>
      <c r="BA49" s="968"/>
      <c r="BB49" s="968"/>
      <c r="BC49" s="968"/>
      <c r="BD49" s="968"/>
      <c r="BE49" s="968"/>
      <c r="BF49" s="968"/>
      <c r="BG49" s="968"/>
      <c r="BH49" s="968"/>
      <c r="BI49" s="968"/>
      <c r="BJ49" s="968"/>
      <c r="BK49" s="915"/>
      <c r="BL49" s="915"/>
    </row>
    <row r="50" spans="1:64" s="371" customFormat="1" x14ac:dyDescent="0.3">
      <c r="A50" s="949">
        <v>88</v>
      </c>
      <c r="B50" s="1017"/>
      <c r="C50" s="948">
        <v>88</v>
      </c>
      <c r="D50" s="998" t="e">
        <v>#VALUE!</v>
      </c>
      <c r="E50" s="998"/>
      <c r="F50" s="965"/>
      <c r="G50" s="966"/>
      <c r="H50" s="966"/>
      <c r="I50" s="966"/>
      <c r="J50" s="966"/>
      <c r="K50" s="966"/>
      <c r="L50" s="967"/>
      <c r="M50" s="968"/>
      <c r="N50" s="968"/>
      <c r="O50" s="969"/>
      <c r="P50" s="969"/>
      <c r="Q50" s="969"/>
      <c r="R50" s="969"/>
      <c r="S50" s="969"/>
      <c r="T50" s="969"/>
      <c r="U50" s="969"/>
      <c r="V50" s="969"/>
      <c r="W50" s="969"/>
      <c r="X50" s="969"/>
      <c r="Y50" s="969"/>
      <c r="Z50" s="969"/>
      <c r="AA50" s="969"/>
      <c r="AB50" s="969"/>
      <c r="AC50" s="969"/>
      <c r="AD50" s="968"/>
      <c r="AE50" s="968"/>
      <c r="AF50" s="968"/>
      <c r="AG50" s="968"/>
      <c r="AH50" s="968"/>
      <c r="AI50" s="968"/>
      <c r="AJ50" s="968"/>
      <c r="AK50" s="968"/>
      <c r="AL50" s="968"/>
      <c r="AM50" s="968"/>
      <c r="AN50" s="968"/>
      <c r="AO50" s="968"/>
      <c r="AP50" s="968"/>
      <c r="AQ50" s="968"/>
      <c r="AR50" s="968"/>
      <c r="AS50" s="968"/>
      <c r="AT50" s="968"/>
      <c r="AU50" s="968"/>
      <c r="AV50" s="968"/>
      <c r="AW50" s="968"/>
      <c r="AX50" s="968"/>
      <c r="AY50" s="968"/>
      <c r="AZ50" s="968"/>
      <c r="BA50" s="968"/>
      <c r="BB50" s="968"/>
      <c r="BC50" s="968"/>
      <c r="BD50" s="968"/>
      <c r="BE50" s="968"/>
      <c r="BF50" s="968"/>
      <c r="BG50" s="968"/>
      <c r="BH50" s="968"/>
      <c r="BI50" s="968"/>
      <c r="BJ50" s="968"/>
      <c r="BK50" s="915"/>
      <c r="BL50" s="915"/>
    </row>
    <row r="51" spans="1:64" s="371" customFormat="1" x14ac:dyDescent="0.3">
      <c r="A51" s="949">
        <v>89</v>
      </c>
      <c r="B51" s="1017"/>
      <c r="C51" s="948">
        <v>89</v>
      </c>
      <c r="D51" s="998" t="e">
        <v>#VALUE!</v>
      </c>
      <c r="E51" s="998"/>
      <c r="F51" s="965"/>
      <c r="G51" s="966"/>
      <c r="H51" s="966"/>
      <c r="I51" s="966"/>
      <c r="J51" s="966"/>
      <c r="K51" s="966"/>
      <c r="L51" s="967"/>
      <c r="M51" s="968"/>
      <c r="N51" s="968"/>
      <c r="O51" s="969"/>
      <c r="P51" s="969"/>
      <c r="Q51" s="969"/>
      <c r="R51" s="969"/>
      <c r="S51" s="969"/>
      <c r="T51" s="969"/>
      <c r="U51" s="969"/>
      <c r="V51" s="969"/>
      <c r="W51" s="969"/>
      <c r="X51" s="969"/>
      <c r="Y51" s="969"/>
      <c r="Z51" s="969"/>
      <c r="AA51" s="969"/>
      <c r="AB51" s="969"/>
      <c r="AC51" s="969"/>
      <c r="AD51" s="968"/>
      <c r="AE51" s="968"/>
      <c r="AF51" s="968"/>
      <c r="AG51" s="968"/>
      <c r="AH51" s="968"/>
      <c r="AI51" s="968"/>
      <c r="AJ51" s="968"/>
      <c r="AK51" s="968"/>
      <c r="AL51" s="968"/>
      <c r="AM51" s="968"/>
      <c r="AN51" s="968"/>
      <c r="AO51" s="968"/>
      <c r="AP51" s="968"/>
      <c r="AQ51" s="968"/>
      <c r="AR51" s="968"/>
      <c r="AS51" s="968"/>
      <c r="AT51" s="968"/>
      <c r="AU51" s="968"/>
      <c r="AV51" s="968"/>
      <c r="AW51" s="968"/>
      <c r="AX51" s="968"/>
      <c r="AY51" s="968"/>
      <c r="AZ51" s="968"/>
      <c r="BA51" s="968"/>
      <c r="BB51" s="968"/>
      <c r="BC51" s="968"/>
      <c r="BD51" s="968"/>
      <c r="BE51" s="968"/>
      <c r="BF51" s="968"/>
      <c r="BG51" s="968"/>
      <c r="BH51" s="968"/>
      <c r="BI51" s="968"/>
      <c r="BJ51" s="968"/>
      <c r="BK51" s="915"/>
      <c r="BL51" s="915"/>
    </row>
    <row r="52" spans="1:64" s="371" customFormat="1" ht="28.8" x14ac:dyDescent="0.3">
      <c r="A52" s="949">
        <v>90</v>
      </c>
      <c r="B52" s="1017"/>
      <c r="C52" s="948">
        <v>90</v>
      </c>
      <c r="D52" s="953" t="s">
        <v>222</v>
      </c>
      <c r="E52" s="953"/>
      <c r="F52" s="965"/>
      <c r="G52" s="966"/>
      <c r="H52" s="966"/>
      <c r="I52" s="966"/>
      <c r="J52" s="966"/>
      <c r="K52" s="966"/>
      <c r="L52" s="967"/>
      <c r="M52" s="968"/>
      <c r="N52" s="968"/>
      <c r="O52" s="969"/>
      <c r="P52" s="969"/>
      <c r="Q52" s="969"/>
      <c r="R52" s="969"/>
      <c r="S52" s="969"/>
      <c r="T52" s="969"/>
      <c r="U52" s="969"/>
      <c r="V52" s="969"/>
      <c r="W52" s="969"/>
      <c r="X52" s="969"/>
      <c r="Y52" s="969"/>
      <c r="Z52" s="969"/>
      <c r="AA52" s="969"/>
      <c r="AB52" s="969"/>
      <c r="AC52" s="969"/>
      <c r="AD52" s="968"/>
      <c r="AE52" s="968"/>
      <c r="AF52" s="968"/>
      <c r="AG52" s="968"/>
      <c r="AH52" s="968"/>
      <c r="AI52" s="968"/>
      <c r="AJ52" s="968"/>
      <c r="AK52" s="968"/>
      <c r="AL52" s="968"/>
      <c r="AM52" s="968"/>
      <c r="AN52" s="968"/>
      <c r="AO52" s="968"/>
      <c r="AP52" s="968"/>
      <c r="AQ52" s="968"/>
      <c r="AR52" s="968"/>
      <c r="AS52" s="968"/>
      <c r="AT52" s="968"/>
      <c r="AU52" s="968"/>
      <c r="AV52" s="968"/>
      <c r="AW52" s="968"/>
      <c r="AX52" s="968"/>
      <c r="AY52" s="968"/>
      <c r="AZ52" s="968"/>
      <c r="BA52" s="968"/>
      <c r="BB52" s="968"/>
      <c r="BC52" s="968"/>
      <c r="BD52" s="968"/>
      <c r="BE52" s="968"/>
      <c r="BF52" s="968"/>
      <c r="BG52" s="968"/>
      <c r="BH52" s="968"/>
      <c r="BI52" s="968"/>
      <c r="BJ52" s="968"/>
      <c r="BK52" s="915"/>
      <c r="BL52" s="915"/>
    </row>
    <row r="53" spans="1:64" s="371" customFormat="1" x14ac:dyDescent="0.3">
      <c r="A53" s="949">
        <v>91</v>
      </c>
      <c r="B53" s="1017"/>
      <c r="C53" s="948">
        <v>91</v>
      </c>
      <c r="D53" s="953" t="s">
        <v>223</v>
      </c>
      <c r="E53" s="953"/>
      <c r="F53" s="965"/>
      <c r="G53" s="966"/>
      <c r="H53" s="966"/>
      <c r="I53" s="966"/>
      <c r="J53" s="966"/>
      <c r="K53" s="966"/>
      <c r="L53" s="967"/>
      <c r="M53" s="968"/>
      <c r="N53" s="968"/>
      <c r="O53" s="969"/>
      <c r="P53" s="969"/>
      <c r="Q53" s="969"/>
      <c r="R53" s="969"/>
      <c r="S53" s="969"/>
      <c r="T53" s="969"/>
      <c r="U53" s="969"/>
      <c r="V53" s="969"/>
      <c r="W53" s="969"/>
      <c r="X53" s="969"/>
      <c r="Y53" s="969"/>
      <c r="Z53" s="969"/>
      <c r="AA53" s="969"/>
      <c r="AB53" s="969"/>
      <c r="AC53" s="969"/>
      <c r="AD53" s="968"/>
      <c r="AE53" s="968"/>
      <c r="AF53" s="968"/>
      <c r="AG53" s="968"/>
      <c r="AH53" s="968"/>
      <c r="AI53" s="968"/>
      <c r="AJ53" s="968"/>
      <c r="AK53" s="968"/>
      <c r="AL53" s="968"/>
      <c r="AM53" s="968"/>
      <c r="AN53" s="968"/>
      <c r="AO53" s="968"/>
      <c r="AP53" s="968"/>
      <c r="AQ53" s="968"/>
      <c r="AR53" s="968"/>
      <c r="AS53" s="968"/>
      <c r="AT53" s="968"/>
      <c r="AU53" s="968"/>
      <c r="AV53" s="968"/>
      <c r="AW53" s="968"/>
      <c r="AX53" s="968"/>
      <c r="AY53" s="968"/>
      <c r="AZ53" s="968"/>
      <c r="BA53" s="968"/>
      <c r="BB53" s="968"/>
      <c r="BC53" s="968"/>
      <c r="BD53" s="968"/>
      <c r="BE53" s="968"/>
      <c r="BF53" s="968"/>
      <c r="BG53" s="968"/>
      <c r="BH53" s="968"/>
      <c r="BI53" s="968"/>
      <c r="BJ53" s="968"/>
      <c r="BK53" s="915"/>
      <c r="BL53" s="915"/>
    </row>
    <row r="54" spans="1:64" s="371" customFormat="1" x14ac:dyDescent="0.3">
      <c r="A54" s="949">
        <v>92</v>
      </c>
      <c r="B54" s="1017"/>
      <c r="C54" s="948">
        <v>92</v>
      </c>
      <c r="D54" s="953" t="s">
        <v>1053</v>
      </c>
      <c r="E54" s="953"/>
      <c r="F54" s="965"/>
      <c r="G54" s="966"/>
      <c r="H54" s="966"/>
      <c r="I54" s="966"/>
      <c r="J54" s="966"/>
      <c r="K54" s="966"/>
      <c r="L54" s="967"/>
      <c r="M54" s="968"/>
      <c r="N54" s="968"/>
      <c r="O54" s="969"/>
      <c r="P54" s="969"/>
      <c r="Q54" s="969"/>
      <c r="R54" s="969"/>
      <c r="S54" s="969"/>
      <c r="T54" s="969"/>
      <c r="U54" s="969"/>
      <c r="V54" s="969"/>
      <c r="W54" s="969"/>
      <c r="X54" s="969"/>
      <c r="Y54" s="969"/>
      <c r="Z54" s="969"/>
      <c r="AA54" s="969"/>
      <c r="AB54" s="969"/>
      <c r="AC54" s="969"/>
      <c r="AD54" s="968"/>
      <c r="AE54" s="968"/>
      <c r="AF54" s="968"/>
      <c r="AG54" s="968"/>
      <c r="AH54" s="968"/>
      <c r="AI54" s="968"/>
      <c r="AJ54" s="968"/>
      <c r="AK54" s="968"/>
      <c r="AL54" s="968"/>
      <c r="AM54" s="968"/>
      <c r="AN54" s="968"/>
      <c r="AO54" s="968"/>
      <c r="AP54" s="968"/>
      <c r="AQ54" s="968"/>
      <c r="AR54" s="968"/>
      <c r="AS54" s="968"/>
      <c r="AT54" s="968"/>
      <c r="AU54" s="968"/>
      <c r="AV54" s="968"/>
      <c r="AW54" s="968"/>
      <c r="AX54" s="968"/>
      <c r="AY54" s="968"/>
      <c r="AZ54" s="968"/>
      <c r="BA54" s="968"/>
      <c r="BB54" s="968"/>
      <c r="BC54" s="968"/>
      <c r="BD54" s="968"/>
      <c r="BE54" s="968"/>
      <c r="BF54" s="968"/>
      <c r="BG54" s="968"/>
      <c r="BH54" s="968"/>
      <c r="BI54" s="968"/>
      <c r="BJ54" s="968"/>
      <c r="BK54" s="915"/>
      <c r="BL54" s="915"/>
    </row>
    <row r="55" spans="1:64" s="371" customFormat="1" x14ac:dyDescent="0.3">
      <c r="A55" s="949">
        <v>93</v>
      </c>
      <c r="B55" s="1017"/>
      <c r="C55" s="948">
        <v>93</v>
      </c>
      <c r="D55" s="953" t="s">
        <v>236</v>
      </c>
      <c r="E55" s="953"/>
      <c r="F55" s="965"/>
      <c r="G55" s="966"/>
      <c r="H55" s="966"/>
      <c r="I55" s="966"/>
      <c r="J55" s="966"/>
      <c r="K55" s="966"/>
      <c r="L55" s="967"/>
      <c r="M55" s="968"/>
      <c r="N55" s="968"/>
      <c r="O55" s="969"/>
      <c r="P55" s="969"/>
      <c r="Q55" s="969"/>
      <c r="R55" s="969"/>
      <c r="S55" s="969"/>
      <c r="T55" s="969"/>
      <c r="U55" s="969"/>
      <c r="V55" s="969"/>
      <c r="W55" s="969"/>
      <c r="X55" s="969"/>
      <c r="Y55" s="969"/>
      <c r="Z55" s="969"/>
      <c r="AA55" s="969"/>
      <c r="AB55" s="969"/>
      <c r="AC55" s="969"/>
      <c r="AD55" s="968"/>
      <c r="AE55" s="968"/>
      <c r="AF55" s="968"/>
      <c r="AG55" s="968"/>
      <c r="AH55" s="968"/>
      <c r="AI55" s="968"/>
      <c r="AJ55" s="968"/>
      <c r="AK55" s="968"/>
      <c r="AL55" s="968"/>
      <c r="AM55" s="968"/>
      <c r="AN55" s="968"/>
      <c r="AO55" s="968"/>
      <c r="AP55" s="968"/>
      <c r="AQ55" s="968"/>
      <c r="AR55" s="968"/>
      <c r="AS55" s="968"/>
      <c r="AT55" s="968"/>
      <c r="AU55" s="968"/>
      <c r="AV55" s="968"/>
      <c r="AW55" s="968"/>
      <c r="AX55" s="968"/>
      <c r="AY55" s="968"/>
      <c r="AZ55" s="968"/>
      <c r="BA55" s="968"/>
      <c r="BB55" s="968"/>
      <c r="BC55" s="968"/>
      <c r="BD55" s="968"/>
      <c r="BE55" s="968"/>
      <c r="BF55" s="968"/>
      <c r="BG55" s="968"/>
      <c r="BH55" s="968"/>
      <c r="BI55" s="968"/>
      <c r="BJ55" s="968"/>
      <c r="BK55" s="915"/>
      <c r="BL55" s="915"/>
    </row>
    <row r="56" spans="1:64" s="371" customFormat="1" x14ac:dyDescent="0.3">
      <c r="A56" s="949">
        <v>94</v>
      </c>
      <c r="B56" s="1017"/>
      <c r="C56" s="948">
        <v>94</v>
      </c>
      <c r="D56" s="953" t="s">
        <v>239</v>
      </c>
      <c r="E56" s="953"/>
      <c r="F56" s="965"/>
      <c r="G56" s="966"/>
      <c r="H56" s="966"/>
      <c r="I56" s="966"/>
      <c r="J56" s="966"/>
      <c r="K56" s="966"/>
      <c r="L56" s="967"/>
      <c r="M56" s="968"/>
      <c r="N56" s="968"/>
      <c r="O56" s="969"/>
      <c r="P56" s="969"/>
      <c r="Q56" s="969"/>
      <c r="R56" s="969"/>
      <c r="S56" s="969"/>
      <c r="T56" s="969"/>
      <c r="U56" s="969"/>
      <c r="V56" s="969"/>
      <c r="W56" s="969"/>
      <c r="X56" s="969"/>
      <c r="Y56" s="969"/>
      <c r="Z56" s="969"/>
      <c r="AA56" s="969"/>
      <c r="AB56" s="969"/>
      <c r="AC56" s="969"/>
      <c r="AD56" s="968"/>
      <c r="AE56" s="968"/>
      <c r="AF56" s="968"/>
      <c r="AG56" s="968"/>
      <c r="AH56" s="968"/>
      <c r="AI56" s="968"/>
      <c r="AJ56" s="968"/>
      <c r="AK56" s="968"/>
      <c r="AL56" s="968"/>
      <c r="AM56" s="968"/>
      <c r="AN56" s="968"/>
      <c r="AO56" s="968"/>
      <c r="AP56" s="968"/>
      <c r="AQ56" s="968"/>
      <c r="AR56" s="968"/>
      <c r="AS56" s="968"/>
      <c r="AT56" s="968"/>
      <c r="AU56" s="968"/>
      <c r="AV56" s="968"/>
      <c r="AW56" s="968"/>
      <c r="AX56" s="968"/>
      <c r="AY56" s="968"/>
      <c r="AZ56" s="968"/>
      <c r="BA56" s="968"/>
      <c r="BB56" s="968"/>
      <c r="BC56" s="968"/>
      <c r="BD56" s="968"/>
      <c r="BE56" s="968"/>
      <c r="BF56" s="968"/>
      <c r="BG56" s="968"/>
      <c r="BH56" s="968"/>
      <c r="BI56" s="968"/>
      <c r="BJ56" s="968"/>
      <c r="BK56" s="915"/>
      <c r="BL56" s="915"/>
    </row>
    <row r="57" spans="1:64" s="371" customFormat="1" x14ac:dyDescent="0.3">
      <c r="A57" s="949">
        <v>97</v>
      </c>
      <c r="B57" s="1017"/>
      <c r="C57" s="948">
        <v>97</v>
      </c>
      <c r="D57" s="953" t="s">
        <v>235</v>
      </c>
      <c r="E57" s="953"/>
      <c r="F57" s="965"/>
      <c r="G57" s="966"/>
      <c r="H57" s="966"/>
      <c r="I57" s="966"/>
      <c r="J57" s="966"/>
      <c r="K57" s="966"/>
      <c r="L57" s="967"/>
      <c r="M57" s="968"/>
      <c r="N57" s="968"/>
      <c r="O57" s="969"/>
      <c r="P57" s="969"/>
      <c r="Q57" s="969"/>
      <c r="R57" s="969"/>
      <c r="S57" s="969"/>
      <c r="T57" s="969"/>
      <c r="U57" s="969"/>
      <c r="V57" s="969"/>
      <c r="W57" s="969"/>
      <c r="X57" s="969"/>
      <c r="Y57" s="969"/>
      <c r="Z57" s="969"/>
      <c r="AA57" s="969"/>
      <c r="AB57" s="969"/>
      <c r="AC57" s="969"/>
      <c r="AD57" s="968"/>
      <c r="AE57" s="968"/>
      <c r="AF57" s="968"/>
      <c r="AG57" s="968"/>
      <c r="AH57" s="968"/>
      <c r="AI57" s="968"/>
      <c r="AJ57" s="968"/>
      <c r="AK57" s="968"/>
      <c r="AL57" s="968"/>
      <c r="AM57" s="968"/>
      <c r="AN57" s="968"/>
      <c r="AO57" s="968"/>
      <c r="AP57" s="968"/>
      <c r="AQ57" s="968"/>
      <c r="AR57" s="968"/>
      <c r="AS57" s="968"/>
      <c r="AT57" s="968"/>
      <c r="AU57" s="968"/>
      <c r="AV57" s="968"/>
      <c r="AW57" s="968"/>
      <c r="AX57" s="968"/>
      <c r="AY57" s="968"/>
      <c r="AZ57" s="968"/>
      <c r="BA57" s="968"/>
      <c r="BB57" s="968"/>
      <c r="BC57" s="968"/>
      <c r="BD57" s="968"/>
      <c r="BE57" s="968"/>
      <c r="BF57" s="968"/>
      <c r="BG57" s="968"/>
      <c r="BH57" s="968"/>
      <c r="BI57" s="968"/>
      <c r="BJ57" s="968"/>
      <c r="BK57" s="915"/>
      <c r="BL57" s="915"/>
    </row>
    <row r="58" spans="1:64" s="371" customFormat="1" x14ac:dyDescent="0.3">
      <c r="A58" s="949">
        <v>98</v>
      </c>
      <c r="B58" s="1017"/>
      <c r="C58" s="948">
        <v>98</v>
      </c>
      <c r="D58" s="953" t="s">
        <v>240</v>
      </c>
      <c r="E58" s="953"/>
      <c r="F58" s="965"/>
      <c r="G58" s="966"/>
      <c r="H58" s="966"/>
      <c r="I58" s="966"/>
      <c r="J58" s="966"/>
      <c r="K58" s="966"/>
      <c r="L58" s="967"/>
      <c r="M58" s="968"/>
      <c r="N58" s="968"/>
      <c r="O58" s="969"/>
      <c r="P58" s="969"/>
      <c r="Q58" s="969"/>
      <c r="R58" s="969"/>
      <c r="S58" s="969"/>
      <c r="T58" s="969"/>
      <c r="U58" s="969"/>
      <c r="V58" s="969"/>
      <c r="W58" s="969"/>
      <c r="X58" s="969"/>
      <c r="Y58" s="969"/>
      <c r="Z58" s="969"/>
      <c r="AA58" s="969"/>
      <c r="AB58" s="969"/>
      <c r="AC58" s="969"/>
      <c r="AD58" s="968"/>
      <c r="AE58" s="968"/>
      <c r="AF58" s="968"/>
      <c r="AG58" s="968"/>
      <c r="AH58" s="968"/>
      <c r="AI58" s="968"/>
      <c r="AJ58" s="968"/>
      <c r="AK58" s="968"/>
      <c r="AL58" s="968"/>
      <c r="AM58" s="968"/>
      <c r="AN58" s="968"/>
      <c r="AO58" s="968"/>
      <c r="AP58" s="968"/>
      <c r="AQ58" s="968"/>
      <c r="AR58" s="968"/>
      <c r="AS58" s="968"/>
      <c r="AT58" s="968"/>
      <c r="AU58" s="968"/>
      <c r="AV58" s="968"/>
      <c r="AW58" s="968"/>
      <c r="AX58" s="968"/>
      <c r="AY58" s="968"/>
      <c r="AZ58" s="968"/>
      <c r="BA58" s="968"/>
      <c r="BB58" s="968"/>
      <c r="BC58" s="968"/>
      <c r="BD58" s="968"/>
      <c r="BE58" s="968"/>
      <c r="BF58" s="968"/>
      <c r="BG58" s="968"/>
      <c r="BH58" s="968"/>
      <c r="BI58" s="968"/>
      <c r="BJ58" s="968"/>
      <c r="BK58" s="915"/>
      <c r="BL58" s="915"/>
    </row>
    <row r="59" spans="1:64" s="371" customFormat="1" ht="28.8" x14ac:dyDescent="0.3">
      <c r="A59" s="949">
        <v>99</v>
      </c>
      <c r="B59" s="1017"/>
      <c r="C59" s="948">
        <v>99</v>
      </c>
      <c r="D59" s="953" t="s">
        <v>237</v>
      </c>
      <c r="E59" s="953"/>
      <c r="F59" s="965"/>
      <c r="G59" s="966"/>
      <c r="H59" s="966"/>
      <c r="I59" s="966"/>
      <c r="J59" s="966"/>
      <c r="K59" s="966"/>
      <c r="L59" s="967"/>
      <c r="M59" s="968"/>
      <c r="N59" s="968"/>
      <c r="O59" s="969"/>
      <c r="P59" s="969"/>
      <c r="Q59" s="969"/>
      <c r="R59" s="969"/>
      <c r="S59" s="969"/>
      <c r="T59" s="969"/>
      <c r="U59" s="969"/>
      <c r="V59" s="969"/>
      <c r="W59" s="969"/>
      <c r="X59" s="969"/>
      <c r="Y59" s="969"/>
      <c r="Z59" s="969"/>
      <c r="AA59" s="969"/>
      <c r="AB59" s="969"/>
      <c r="AC59" s="969"/>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15"/>
      <c r="BL59" s="915"/>
    </row>
    <row r="60" spans="1:64" s="371" customFormat="1" x14ac:dyDescent="0.3">
      <c r="A60" s="949">
        <v>100</v>
      </c>
      <c r="B60" s="1017"/>
      <c r="C60" s="948">
        <v>100</v>
      </c>
      <c r="D60" s="953" t="s">
        <v>250</v>
      </c>
      <c r="E60" s="953"/>
      <c r="F60" s="965"/>
      <c r="G60" s="966"/>
      <c r="H60" s="966"/>
      <c r="I60" s="966"/>
      <c r="J60" s="966"/>
      <c r="K60" s="966"/>
      <c r="L60" s="967"/>
      <c r="M60" s="968"/>
      <c r="N60" s="968"/>
      <c r="O60" s="969"/>
      <c r="P60" s="969"/>
      <c r="Q60" s="969"/>
      <c r="R60" s="969"/>
      <c r="S60" s="969"/>
      <c r="T60" s="969"/>
      <c r="U60" s="969"/>
      <c r="V60" s="969"/>
      <c r="W60" s="969"/>
      <c r="X60" s="969"/>
      <c r="Y60" s="969"/>
      <c r="Z60" s="969"/>
      <c r="AA60" s="969"/>
      <c r="AB60" s="969"/>
      <c r="AC60" s="969"/>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15"/>
      <c r="BL60" s="915"/>
    </row>
    <row r="61" spans="1:64" s="371" customFormat="1" x14ac:dyDescent="0.3">
      <c r="A61" s="949">
        <v>101</v>
      </c>
      <c r="B61" s="1017"/>
      <c r="C61" s="948">
        <v>101</v>
      </c>
      <c r="D61" s="953" t="s">
        <v>249</v>
      </c>
      <c r="E61" s="953"/>
      <c r="F61" s="965"/>
      <c r="G61" s="966"/>
      <c r="H61" s="966"/>
      <c r="I61" s="966"/>
      <c r="J61" s="966"/>
      <c r="K61" s="966"/>
      <c r="L61" s="967"/>
      <c r="M61" s="968"/>
      <c r="N61" s="968"/>
      <c r="O61" s="969"/>
      <c r="P61" s="969"/>
      <c r="Q61" s="969"/>
      <c r="R61" s="969"/>
      <c r="S61" s="969"/>
      <c r="T61" s="969"/>
      <c r="U61" s="969"/>
      <c r="V61" s="969"/>
      <c r="W61" s="969"/>
      <c r="X61" s="969"/>
      <c r="Y61" s="969"/>
      <c r="Z61" s="969"/>
      <c r="AA61" s="969"/>
      <c r="AB61" s="969"/>
      <c r="AC61" s="969"/>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15"/>
      <c r="BL61" s="915"/>
    </row>
    <row r="62" spans="1:64" s="373" customFormat="1" x14ac:dyDescent="0.3">
      <c r="A62" s="949">
        <v>102</v>
      </c>
      <c r="B62" s="1017"/>
      <c r="C62" s="948">
        <v>102</v>
      </c>
      <c r="D62" s="998" t="e">
        <v>#VALUE!</v>
      </c>
      <c r="E62" s="998"/>
      <c r="F62" s="965"/>
      <c r="G62" s="966"/>
      <c r="H62" s="966"/>
      <c r="I62" s="966"/>
      <c r="J62" s="966"/>
      <c r="K62" s="966"/>
      <c r="L62" s="967"/>
      <c r="M62" s="968"/>
      <c r="N62" s="968"/>
      <c r="O62" s="969"/>
      <c r="P62" s="969"/>
      <c r="Q62" s="969"/>
      <c r="R62" s="969"/>
      <c r="S62" s="969"/>
      <c r="T62" s="969"/>
      <c r="U62" s="969"/>
      <c r="V62" s="969"/>
      <c r="W62" s="969"/>
      <c r="X62" s="969"/>
      <c r="Y62" s="969"/>
      <c r="Z62" s="969"/>
      <c r="AA62" s="969"/>
      <c r="AB62" s="969"/>
      <c r="AC62" s="969"/>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15"/>
      <c r="BL62" s="915"/>
    </row>
    <row r="63" spans="1:64" s="373" customFormat="1" x14ac:dyDescent="0.3">
      <c r="A63" s="949">
        <v>103</v>
      </c>
      <c r="B63" s="1017"/>
      <c r="C63" s="948">
        <v>103</v>
      </c>
      <c r="D63" s="998" t="e">
        <v>#VALUE!</v>
      </c>
      <c r="E63" s="998"/>
      <c r="F63" s="965"/>
      <c r="G63" s="966"/>
      <c r="H63" s="966"/>
      <c r="I63" s="966"/>
      <c r="J63" s="966"/>
      <c r="K63" s="966"/>
      <c r="L63" s="967"/>
      <c r="M63" s="968"/>
      <c r="N63" s="968"/>
      <c r="O63" s="969"/>
      <c r="P63" s="969"/>
      <c r="Q63" s="969"/>
      <c r="R63" s="969"/>
      <c r="S63" s="969"/>
      <c r="T63" s="969"/>
      <c r="U63" s="969"/>
      <c r="V63" s="969"/>
      <c r="W63" s="969"/>
      <c r="X63" s="969"/>
      <c r="Y63" s="969"/>
      <c r="Z63" s="969"/>
      <c r="AA63" s="969"/>
      <c r="AB63" s="969"/>
      <c r="AC63" s="969"/>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15"/>
      <c r="BL63" s="915"/>
    </row>
    <row r="64" spans="1:64" s="371" customFormat="1" x14ac:dyDescent="0.3">
      <c r="A64" s="949">
        <v>104</v>
      </c>
      <c r="B64" s="1017"/>
      <c r="C64" s="948">
        <v>104</v>
      </c>
      <c r="D64" s="954" t="s">
        <v>299</v>
      </c>
      <c r="E64" s="954"/>
      <c r="F64" s="965"/>
      <c r="G64" s="966"/>
      <c r="H64" s="966"/>
      <c r="I64" s="966"/>
      <c r="J64" s="966"/>
      <c r="K64" s="966"/>
      <c r="L64" s="967"/>
      <c r="M64" s="968"/>
      <c r="N64" s="968"/>
      <c r="O64" s="969"/>
      <c r="P64" s="969"/>
      <c r="Q64" s="969"/>
      <c r="R64" s="969"/>
      <c r="S64" s="969"/>
      <c r="T64" s="969"/>
      <c r="U64" s="969"/>
      <c r="V64" s="969"/>
      <c r="W64" s="969"/>
      <c r="X64" s="969"/>
      <c r="Y64" s="969"/>
      <c r="Z64" s="969"/>
      <c r="AA64" s="969"/>
      <c r="AB64" s="969"/>
      <c r="AC64" s="969"/>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15"/>
      <c r="BL64" s="915"/>
    </row>
    <row r="65" spans="1:64" s="371" customFormat="1" ht="26.4" x14ac:dyDescent="0.3">
      <c r="A65" s="949">
        <v>107</v>
      </c>
      <c r="B65" s="1017"/>
      <c r="C65" s="948">
        <v>107</v>
      </c>
      <c r="D65" s="954" t="s">
        <v>380</v>
      </c>
      <c r="E65" s="954"/>
      <c r="F65" s="965"/>
      <c r="G65" s="966"/>
      <c r="H65" s="966"/>
      <c r="I65" s="966"/>
      <c r="J65" s="966"/>
      <c r="K65" s="966"/>
      <c r="L65" s="967"/>
      <c r="M65" s="968"/>
      <c r="N65" s="968"/>
      <c r="O65" s="969"/>
      <c r="P65" s="969"/>
      <c r="Q65" s="969"/>
      <c r="R65" s="969"/>
      <c r="S65" s="969"/>
      <c r="T65" s="969"/>
      <c r="U65" s="969"/>
      <c r="V65" s="969"/>
      <c r="W65" s="969"/>
      <c r="X65" s="969"/>
      <c r="Y65" s="969"/>
      <c r="Z65" s="969"/>
      <c r="AA65" s="969"/>
      <c r="AB65" s="969"/>
      <c r="AC65" s="969"/>
      <c r="AD65" s="968"/>
      <c r="AE65" s="968"/>
      <c r="AF65" s="968"/>
      <c r="AG65" s="968"/>
      <c r="AH65" s="968"/>
      <c r="AI65" s="968"/>
      <c r="AJ65" s="968"/>
      <c r="AK65" s="968"/>
      <c r="AL65" s="968"/>
      <c r="AM65" s="968"/>
      <c r="AN65" s="968"/>
      <c r="AO65" s="968"/>
      <c r="AP65" s="968"/>
      <c r="AQ65" s="968"/>
      <c r="AR65" s="968"/>
      <c r="AS65" s="968"/>
      <c r="AT65" s="968"/>
      <c r="AU65" s="968"/>
      <c r="AV65" s="968"/>
      <c r="AW65" s="968"/>
      <c r="AX65" s="968"/>
      <c r="AY65" s="968"/>
      <c r="AZ65" s="968"/>
      <c r="BA65" s="968"/>
      <c r="BB65" s="968"/>
      <c r="BC65" s="968"/>
      <c r="BD65" s="968"/>
      <c r="BE65" s="968"/>
      <c r="BF65" s="968"/>
      <c r="BG65" s="968"/>
      <c r="BH65" s="968"/>
      <c r="BI65" s="968"/>
      <c r="BJ65" s="968"/>
      <c r="BK65" s="915"/>
      <c r="BL65" s="915"/>
    </row>
    <row r="66" spans="1:64" s="371" customFormat="1" ht="39.6" x14ac:dyDescent="0.3">
      <c r="A66" s="949">
        <v>108</v>
      </c>
      <c r="B66" s="1017"/>
      <c r="C66" s="948">
        <v>108</v>
      </c>
      <c r="D66" s="954" t="s">
        <v>381</v>
      </c>
      <c r="E66" s="954"/>
      <c r="F66" s="965"/>
      <c r="G66" s="966"/>
      <c r="H66" s="966"/>
      <c r="I66" s="966"/>
      <c r="J66" s="966"/>
      <c r="K66" s="966"/>
      <c r="L66" s="967"/>
      <c r="M66" s="968"/>
      <c r="N66" s="968"/>
      <c r="O66" s="969"/>
      <c r="P66" s="969"/>
      <c r="Q66" s="969"/>
      <c r="R66" s="969"/>
      <c r="S66" s="969"/>
      <c r="T66" s="969"/>
      <c r="U66" s="969"/>
      <c r="V66" s="969"/>
      <c r="W66" s="969"/>
      <c r="X66" s="969"/>
      <c r="Y66" s="969"/>
      <c r="Z66" s="969"/>
      <c r="AA66" s="969"/>
      <c r="AB66" s="969"/>
      <c r="AC66" s="969"/>
      <c r="AD66" s="968"/>
      <c r="AE66" s="968"/>
      <c r="AF66" s="968"/>
      <c r="AG66" s="968"/>
      <c r="AH66" s="968"/>
      <c r="AI66" s="968"/>
      <c r="AJ66" s="968"/>
      <c r="AK66" s="968"/>
      <c r="AL66" s="968"/>
      <c r="AM66" s="968"/>
      <c r="AN66" s="968"/>
      <c r="AO66" s="968"/>
      <c r="AP66" s="968"/>
      <c r="AQ66" s="968"/>
      <c r="AR66" s="968"/>
      <c r="AS66" s="968"/>
      <c r="AT66" s="968"/>
      <c r="AU66" s="968"/>
      <c r="AV66" s="968"/>
      <c r="AW66" s="968"/>
      <c r="AX66" s="968"/>
      <c r="AY66" s="968"/>
      <c r="AZ66" s="968"/>
      <c r="BA66" s="968"/>
      <c r="BB66" s="968"/>
      <c r="BC66" s="968"/>
      <c r="BD66" s="968"/>
      <c r="BE66" s="968"/>
      <c r="BF66" s="968"/>
      <c r="BG66" s="968"/>
      <c r="BH66" s="968"/>
      <c r="BI66" s="968"/>
      <c r="BJ66" s="968"/>
      <c r="BK66" s="915"/>
      <c r="BL66" s="915"/>
    </row>
    <row r="67" spans="1:64" s="371" customFormat="1" ht="26.4" x14ac:dyDescent="0.3">
      <c r="A67" s="949">
        <v>147</v>
      </c>
      <c r="B67" s="1017"/>
      <c r="C67" s="948">
        <v>147</v>
      </c>
      <c r="D67" s="954" t="s">
        <v>300</v>
      </c>
      <c r="E67" s="954"/>
      <c r="F67" s="965"/>
      <c r="G67" s="966"/>
      <c r="H67" s="966"/>
      <c r="I67" s="966"/>
      <c r="J67" s="966"/>
      <c r="K67" s="966"/>
      <c r="L67" s="967"/>
      <c r="M67" s="968"/>
      <c r="N67" s="968"/>
      <c r="O67" s="969"/>
      <c r="P67" s="969"/>
      <c r="Q67" s="969"/>
      <c r="R67" s="969"/>
      <c r="S67" s="969"/>
      <c r="T67" s="969"/>
      <c r="U67" s="969"/>
      <c r="V67" s="969"/>
      <c r="W67" s="969"/>
      <c r="X67" s="969"/>
      <c r="Y67" s="969"/>
      <c r="Z67" s="969"/>
      <c r="AA67" s="969"/>
      <c r="AB67" s="969"/>
      <c r="AC67" s="969"/>
      <c r="AD67" s="968"/>
      <c r="AE67" s="968"/>
      <c r="AF67" s="968"/>
      <c r="AG67" s="968"/>
      <c r="AH67" s="968"/>
      <c r="AI67" s="968"/>
      <c r="AJ67" s="968"/>
      <c r="AK67" s="968"/>
      <c r="AL67" s="968"/>
      <c r="AM67" s="968"/>
      <c r="AN67" s="968"/>
      <c r="AO67" s="968"/>
      <c r="AP67" s="968"/>
      <c r="AQ67" s="968"/>
      <c r="AR67" s="968"/>
      <c r="AS67" s="968"/>
      <c r="AT67" s="968"/>
      <c r="AU67" s="968"/>
      <c r="AV67" s="968"/>
      <c r="AW67" s="968"/>
      <c r="AX67" s="968"/>
      <c r="AY67" s="968"/>
      <c r="AZ67" s="968"/>
      <c r="BA67" s="968"/>
      <c r="BB67" s="968"/>
      <c r="BC67" s="968"/>
      <c r="BD67" s="968"/>
      <c r="BE67" s="968"/>
      <c r="BF67" s="968"/>
      <c r="BG67" s="968"/>
      <c r="BH67" s="968"/>
      <c r="BI67" s="968"/>
      <c r="BJ67" s="968"/>
      <c r="BK67" s="915"/>
      <c r="BL67" s="915"/>
    </row>
    <row r="68" spans="1:64" s="371" customFormat="1" ht="26.4" x14ac:dyDescent="0.3">
      <c r="A68" s="949">
        <v>148</v>
      </c>
      <c r="B68" s="1017"/>
      <c r="C68" s="948">
        <v>148</v>
      </c>
      <c r="D68" s="954" t="s">
        <v>301</v>
      </c>
      <c r="E68" s="954"/>
      <c r="F68" s="965"/>
      <c r="G68" s="966"/>
      <c r="H68" s="966"/>
      <c r="I68" s="966"/>
      <c r="J68" s="966"/>
      <c r="K68" s="966"/>
      <c r="L68" s="967"/>
      <c r="M68" s="968"/>
      <c r="N68" s="968"/>
      <c r="O68" s="969"/>
      <c r="P68" s="969"/>
      <c r="Q68" s="969"/>
      <c r="R68" s="969"/>
      <c r="S68" s="969"/>
      <c r="T68" s="969"/>
      <c r="U68" s="969"/>
      <c r="V68" s="969"/>
      <c r="W68" s="969"/>
      <c r="X68" s="969"/>
      <c r="Y68" s="969"/>
      <c r="Z68" s="969"/>
      <c r="AA68" s="969"/>
      <c r="AB68" s="969"/>
      <c r="AC68" s="969"/>
      <c r="AD68" s="968"/>
      <c r="AE68" s="968"/>
      <c r="AF68" s="968"/>
      <c r="AG68" s="968"/>
      <c r="AH68" s="968"/>
      <c r="AI68" s="968"/>
      <c r="AJ68" s="968"/>
      <c r="AK68" s="968"/>
      <c r="AL68" s="968"/>
      <c r="AM68" s="968"/>
      <c r="AN68" s="968"/>
      <c r="AO68" s="968"/>
      <c r="AP68" s="968"/>
      <c r="AQ68" s="968"/>
      <c r="AR68" s="968"/>
      <c r="AS68" s="968"/>
      <c r="AT68" s="968"/>
      <c r="AU68" s="968"/>
      <c r="AV68" s="968"/>
      <c r="AW68" s="968"/>
      <c r="AX68" s="968"/>
      <c r="AY68" s="968"/>
      <c r="AZ68" s="968"/>
      <c r="BA68" s="968"/>
      <c r="BB68" s="968"/>
      <c r="BC68" s="968"/>
      <c r="BD68" s="968"/>
      <c r="BE68" s="968"/>
      <c r="BF68" s="968"/>
      <c r="BG68" s="968"/>
      <c r="BH68" s="968"/>
      <c r="BI68" s="968"/>
      <c r="BJ68" s="968"/>
      <c r="BK68" s="915"/>
      <c r="BL68" s="915"/>
    </row>
    <row r="69" spans="1:64" s="371" customFormat="1" ht="26.4" x14ac:dyDescent="0.3">
      <c r="A69" s="949">
        <v>149</v>
      </c>
      <c r="B69" s="1017">
        <v>149</v>
      </c>
      <c r="C69" s="948">
        <v>149</v>
      </c>
      <c r="D69" s="954" t="s">
        <v>302</v>
      </c>
      <c r="E69" s="954"/>
      <c r="F69" s="965">
        <v>11375237</v>
      </c>
      <c r="G69" s="966">
        <v>18912278</v>
      </c>
      <c r="H69" s="966">
        <v>10000000</v>
      </c>
      <c r="I69" s="966">
        <v>3910246</v>
      </c>
      <c r="J69" s="966">
        <v>19568705</v>
      </c>
      <c r="K69" s="966">
        <v>8909968</v>
      </c>
      <c r="L69" s="967">
        <v>2791120</v>
      </c>
      <c r="M69" s="968">
        <v>6044207</v>
      </c>
      <c r="N69" s="968">
        <v>9243000</v>
      </c>
      <c r="O69" s="969">
        <v>2321310</v>
      </c>
      <c r="P69" s="969">
        <v>5329824</v>
      </c>
      <c r="Q69" s="969">
        <v>31089133</v>
      </c>
      <c r="R69" s="969">
        <v>11110275</v>
      </c>
      <c r="S69" s="969">
        <v>2115080</v>
      </c>
      <c r="T69" s="969">
        <v>0</v>
      </c>
      <c r="U69" s="969">
        <v>23115861</v>
      </c>
      <c r="V69" s="969">
        <v>81366950</v>
      </c>
      <c r="W69" s="969">
        <v>5245387</v>
      </c>
      <c r="X69" s="969">
        <v>3500000</v>
      </c>
      <c r="Y69" s="969">
        <v>53023431</v>
      </c>
      <c r="Z69" s="969">
        <v>35401202</v>
      </c>
      <c r="AA69" s="969">
        <v>3908414</v>
      </c>
      <c r="AB69" s="969">
        <v>18830040</v>
      </c>
      <c r="AC69" s="969">
        <v>2900000</v>
      </c>
      <c r="AD69" s="968">
        <v>10442896</v>
      </c>
      <c r="AE69" s="968">
        <v>40905920</v>
      </c>
      <c r="AF69" s="968">
        <v>5130055</v>
      </c>
      <c r="AG69" s="968">
        <v>20081808</v>
      </c>
      <c r="AH69" s="968">
        <v>7873240</v>
      </c>
      <c r="AI69" s="968">
        <v>2139822</v>
      </c>
      <c r="AJ69" s="968">
        <v>13305000</v>
      </c>
      <c r="AK69" s="968">
        <v>15834840</v>
      </c>
      <c r="AL69" s="968">
        <v>37487555</v>
      </c>
      <c r="AM69" s="968">
        <v>16173010</v>
      </c>
      <c r="AN69" s="968">
        <v>9020616</v>
      </c>
      <c r="AO69" s="968">
        <v>10044895</v>
      </c>
      <c r="AP69" s="968">
        <v>12250706</v>
      </c>
      <c r="AQ69" s="968">
        <v>13143003</v>
      </c>
      <c r="AR69" s="968">
        <v>9916350</v>
      </c>
      <c r="AS69" s="968">
        <v>942047</v>
      </c>
      <c r="AT69" s="968">
        <v>2867038</v>
      </c>
      <c r="AU69" s="968">
        <v>12740313</v>
      </c>
      <c r="AV69" s="968">
        <v>567595</v>
      </c>
      <c r="AW69" s="968">
        <v>102942093</v>
      </c>
      <c r="AX69" s="968">
        <v>7202440</v>
      </c>
      <c r="AY69" s="968">
        <v>513103536</v>
      </c>
      <c r="AZ69" s="968">
        <v>4789331</v>
      </c>
      <c r="BA69" s="968">
        <v>1805006</v>
      </c>
      <c r="BB69" s="968">
        <v>13664099</v>
      </c>
      <c r="BC69" s="968">
        <v>19053791</v>
      </c>
      <c r="BD69" s="968">
        <v>810863</v>
      </c>
      <c r="BE69" s="968">
        <v>2206501</v>
      </c>
      <c r="BF69" s="968">
        <v>13917773</v>
      </c>
      <c r="BG69" s="968">
        <v>21702347</v>
      </c>
      <c r="BH69" s="968">
        <v>125913734</v>
      </c>
      <c r="BI69" s="968">
        <v>7146494</v>
      </c>
      <c r="BJ69" s="968">
        <v>2960900</v>
      </c>
      <c r="BK69" s="913"/>
      <c r="BL69" s="913"/>
    </row>
    <row r="70" spans="1:64" s="371" customFormat="1" ht="39.6" x14ac:dyDescent="0.3">
      <c r="A70" s="949">
        <v>150</v>
      </c>
      <c r="B70" s="1017">
        <v>150</v>
      </c>
      <c r="C70" s="948">
        <v>150</v>
      </c>
      <c r="D70" s="954" t="s">
        <v>303</v>
      </c>
      <c r="E70" s="954"/>
      <c r="F70" s="965">
        <v>1869380</v>
      </c>
      <c r="G70" s="966">
        <v>8282105</v>
      </c>
      <c r="H70" s="966">
        <v>383049</v>
      </c>
      <c r="I70" s="966">
        <v>1387956</v>
      </c>
      <c r="J70" s="966">
        <v>5488792</v>
      </c>
      <c r="K70" s="966">
        <v>2815946</v>
      </c>
      <c r="L70" s="967">
        <v>963077</v>
      </c>
      <c r="M70" s="968">
        <v>551114</v>
      </c>
      <c r="N70" s="968">
        <v>4154081</v>
      </c>
      <c r="O70" s="969">
        <v>272563</v>
      </c>
      <c r="P70" s="969">
        <v>408537</v>
      </c>
      <c r="Q70" s="969">
        <v>73206282</v>
      </c>
      <c r="R70" s="969">
        <v>2293961</v>
      </c>
      <c r="S70" s="969">
        <v>1604268</v>
      </c>
      <c r="T70" s="969">
        <v>0</v>
      </c>
      <c r="U70" s="969">
        <v>1846558</v>
      </c>
      <c r="V70" s="969">
        <v>31222153</v>
      </c>
      <c r="W70" s="969">
        <v>842786</v>
      </c>
      <c r="X70" s="969">
        <v>347403</v>
      </c>
      <c r="Y70" s="969">
        <v>19855101</v>
      </c>
      <c r="Z70" s="969">
        <v>15139213</v>
      </c>
      <c r="AA70" s="969">
        <v>560372</v>
      </c>
      <c r="AB70" s="969">
        <v>3189084</v>
      </c>
      <c r="AC70" s="969">
        <v>486532</v>
      </c>
      <c r="AD70" s="968">
        <v>583201</v>
      </c>
      <c r="AE70" s="968">
        <v>2280288</v>
      </c>
      <c r="AF70" s="968">
        <v>977886</v>
      </c>
      <c r="AG70" s="968">
        <v>14007940</v>
      </c>
      <c r="AH70" s="968">
        <v>2379330</v>
      </c>
      <c r="AI70" s="968">
        <v>299435</v>
      </c>
      <c r="AJ70" s="968">
        <v>0</v>
      </c>
      <c r="AK70" s="968">
        <v>2311233</v>
      </c>
      <c r="AL70" s="968">
        <v>6675427</v>
      </c>
      <c r="AM70" s="968">
        <v>5027817</v>
      </c>
      <c r="AN70" s="968">
        <v>906747</v>
      </c>
      <c r="AO70" s="968">
        <v>13516681</v>
      </c>
      <c r="AP70" s="968">
        <v>4175000</v>
      </c>
      <c r="AQ70" s="968">
        <v>1785748</v>
      </c>
      <c r="AR70" s="968">
        <v>15256116</v>
      </c>
      <c r="AS70" s="968">
        <v>1081730</v>
      </c>
      <c r="AT70" s="968">
        <v>1265196</v>
      </c>
      <c r="AU70" s="968">
        <v>2716211</v>
      </c>
      <c r="AV70" s="968">
        <v>120000</v>
      </c>
      <c r="AW70" s="968">
        <v>42545304</v>
      </c>
      <c r="AX70" s="968">
        <v>807000</v>
      </c>
      <c r="AY70" s="968">
        <v>274820533</v>
      </c>
      <c r="AZ70" s="968">
        <v>0</v>
      </c>
      <c r="BA70" s="968">
        <v>400000</v>
      </c>
      <c r="BB70" s="968">
        <v>1260345</v>
      </c>
      <c r="BC70" s="968">
        <v>7361004</v>
      </c>
      <c r="BD70" s="968">
        <v>252199</v>
      </c>
      <c r="BE70" s="968">
        <v>210977</v>
      </c>
      <c r="BF70" s="968">
        <v>3089010</v>
      </c>
      <c r="BG70" s="968">
        <v>1432727</v>
      </c>
      <c r="BH70" s="968">
        <v>43304192</v>
      </c>
      <c r="BI70" s="968">
        <v>570885</v>
      </c>
      <c r="BJ70" s="968">
        <v>421032</v>
      </c>
      <c r="BK70" s="913"/>
      <c r="BL70" s="913"/>
    </row>
    <row r="71" spans="1:64" s="371" customFormat="1" x14ac:dyDescent="0.3">
      <c r="A71" s="949">
        <v>171</v>
      </c>
      <c r="B71" s="1017"/>
      <c r="C71" s="948">
        <v>171</v>
      </c>
      <c r="D71" s="998" t="e">
        <v>#VALUE!</v>
      </c>
      <c r="E71" s="998"/>
      <c r="F71" s="965"/>
      <c r="G71" s="966"/>
      <c r="H71" s="966"/>
      <c r="I71" s="966"/>
      <c r="J71" s="966"/>
      <c r="K71" s="966"/>
      <c r="L71" s="967"/>
      <c r="M71" s="968"/>
      <c r="N71" s="968"/>
      <c r="O71" s="969"/>
      <c r="P71" s="969"/>
      <c r="Q71" s="969"/>
      <c r="R71" s="969"/>
      <c r="S71" s="969"/>
      <c r="T71" s="969"/>
      <c r="U71" s="969"/>
      <c r="V71" s="969"/>
      <c r="W71" s="969"/>
      <c r="X71" s="969"/>
      <c r="Y71" s="969"/>
      <c r="Z71" s="969"/>
      <c r="AA71" s="969"/>
      <c r="AB71" s="969"/>
      <c r="AC71" s="969"/>
      <c r="AD71" s="968"/>
      <c r="AE71" s="968"/>
      <c r="AF71" s="968"/>
      <c r="AG71" s="968"/>
      <c r="AH71" s="968"/>
      <c r="AI71" s="968"/>
      <c r="AJ71" s="968"/>
      <c r="AK71" s="968"/>
      <c r="AL71" s="968"/>
      <c r="AM71" s="968"/>
      <c r="AN71" s="968"/>
      <c r="AO71" s="968"/>
      <c r="AP71" s="968"/>
      <c r="AQ71" s="968"/>
      <c r="AR71" s="968"/>
      <c r="AS71" s="968"/>
      <c r="AT71" s="968"/>
      <c r="AU71" s="968"/>
      <c r="AV71" s="968"/>
      <c r="AW71" s="968"/>
      <c r="AX71" s="968"/>
      <c r="AY71" s="968"/>
      <c r="AZ71" s="968"/>
      <c r="BA71" s="968"/>
      <c r="BB71" s="968"/>
      <c r="BC71" s="968"/>
      <c r="BD71" s="968"/>
      <c r="BE71" s="968"/>
      <c r="BF71" s="968"/>
      <c r="BG71" s="968"/>
      <c r="BH71" s="968"/>
      <c r="BI71" s="968"/>
      <c r="BJ71" s="968"/>
      <c r="BK71" s="913"/>
      <c r="BL71" s="913"/>
    </row>
    <row r="72" spans="1:64" s="371" customFormat="1" x14ac:dyDescent="0.3">
      <c r="A72" s="949">
        <v>191</v>
      </c>
      <c r="B72" s="1017"/>
      <c r="C72" s="948">
        <v>191</v>
      </c>
      <c r="D72" s="998" t="e">
        <v>#VALUE!</v>
      </c>
      <c r="E72" s="998"/>
      <c r="F72" s="965"/>
      <c r="G72" s="966"/>
      <c r="H72" s="966"/>
      <c r="I72" s="966"/>
      <c r="J72" s="966"/>
      <c r="K72" s="966"/>
      <c r="L72" s="967"/>
      <c r="M72" s="968"/>
      <c r="N72" s="968"/>
      <c r="O72" s="969"/>
      <c r="P72" s="969"/>
      <c r="Q72" s="969"/>
      <c r="R72" s="969"/>
      <c r="S72" s="969"/>
      <c r="T72" s="969"/>
      <c r="U72" s="969"/>
      <c r="V72" s="969"/>
      <c r="W72" s="969"/>
      <c r="X72" s="969"/>
      <c r="Y72" s="969"/>
      <c r="Z72" s="969"/>
      <c r="AA72" s="969"/>
      <c r="AB72" s="969"/>
      <c r="AC72" s="969"/>
      <c r="AD72" s="968"/>
      <c r="AE72" s="968"/>
      <c r="AF72" s="968"/>
      <c r="AG72" s="968"/>
      <c r="AH72" s="968"/>
      <c r="AI72" s="968"/>
      <c r="AJ72" s="968"/>
      <c r="AK72" s="968"/>
      <c r="AL72" s="968"/>
      <c r="AM72" s="968"/>
      <c r="AN72" s="968"/>
      <c r="AO72" s="968"/>
      <c r="AP72" s="968"/>
      <c r="AQ72" s="968"/>
      <c r="AR72" s="968"/>
      <c r="AS72" s="968"/>
      <c r="AT72" s="968"/>
      <c r="AU72" s="968"/>
      <c r="AV72" s="968"/>
      <c r="AW72" s="968"/>
      <c r="AX72" s="968"/>
      <c r="AY72" s="968"/>
      <c r="AZ72" s="968"/>
      <c r="BA72" s="968"/>
      <c r="BB72" s="968"/>
      <c r="BC72" s="968"/>
      <c r="BD72" s="968"/>
      <c r="BE72" s="968"/>
      <c r="BF72" s="968"/>
      <c r="BG72" s="968"/>
      <c r="BH72" s="968"/>
      <c r="BI72" s="968"/>
      <c r="BJ72" s="968"/>
      <c r="BK72" s="913"/>
      <c r="BL72" s="913"/>
    </row>
    <row r="73" spans="1:64" s="371" customFormat="1" x14ac:dyDescent="0.3">
      <c r="A73" s="949">
        <v>192</v>
      </c>
      <c r="B73" s="1017"/>
      <c r="C73" s="948">
        <v>192</v>
      </c>
      <c r="D73" s="953" t="s">
        <v>243</v>
      </c>
      <c r="E73" s="953"/>
      <c r="F73" s="965"/>
      <c r="G73" s="966"/>
      <c r="H73" s="966"/>
      <c r="I73" s="966"/>
      <c r="J73" s="966"/>
      <c r="K73" s="966"/>
      <c r="L73" s="967"/>
      <c r="M73" s="968"/>
      <c r="N73" s="968"/>
      <c r="O73" s="969"/>
      <c r="P73" s="969"/>
      <c r="Q73" s="969"/>
      <c r="R73" s="969"/>
      <c r="S73" s="969"/>
      <c r="T73" s="969"/>
      <c r="U73" s="969"/>
      <c r="V73" s="969"/>
      <c r="W73" s="969"/>
      <c r="X73" s="969"/>
      <c r="Y73" s="969"/>
      <c r="Z73" s="969"/>
      <c r="AA73" s="969"/>
      <c r="AB73" s="969"/>
      <c r="AC73" s="969"/>
      <c r="AD73" s="968"/>
      <c r="AE73" s="968"/>
      <c r="AF73" s="968"/>
      <c r="AG73" s="968"/>
      <c r="AH73" s="968"/>
      <c r="AI73" s="968"/>
      <c r="AJ73" s="968"/>
      <c r="AK73" s="968"/>
      <c r="AL73" s="968"/>
      <c r="AM73" s="968"/>
      <c r="AN73" s="968"/>
      <c r="AO73" s="968"/>
      <c r="AP73" s="968"/>
      <c r="AQ73" s="968"/>
      <c r="AR73" s="968"/>
      <c r="AS73" s="968"/>
      <c r="AT73" s="968"/>
      <c r="AU73" s="968"/>
      <c r="AV73" s="968"/>
      <c r="AW73" s="968"/>
      <c r="AX73" s="968"/>
      <c r="AY73" s="968"/>
      <c r="AZ73" s="968"/>
      <c r="BA73" s="968"/>
      <c r="BB73" s="968"/>
      <c r="BC73" s="968"/>
      <c r="BD73" s="968"/>
      <c r="BE73" s="968"/>
      <c r="BF73" s="968"/>
      <c r="BG73" s="968"/>
      <c r="BH73" s="968"/>
      <c r="BI73" s="968"/>
      <c r="BJ73" s="968"/>
      <c r="BK73" s="913"/>
      <c r="BL73" s="913"/>
    </row>
    <row r="74" spans="1:64" s="371" customFormat="1" ht="28.8" x14ac:dyDescent="0.3">
      <c r="A74" s="949">
        <v>193</v>
      </c>
      <c r="B74" s="1017"/>
      <c r="C74" s="948">
        <v>193</v>
      </c>
      <c r="D74" s="953" t="s">
        <v>304</v>
      </c>
      <c r="E74" s="953"/>
      <c r="F74" s="965"/>
      <c r="G74" s="966"/>
      <c r="H74" s="966"/>
      <c r="I74" s="966"/>
      <c r="J74" s="966"/>
      <c r="K74" s="966"/>
      <c r="L74" s="967"/>
      <c r="M74" s="968"/>
      <c r="N74" s="968"/>
      <c r="O74" s="969"/>
      <c r="P74" s="969"/>
      <c r="Q74" s="969"/>
      <c r="R74" s="969"/>
      <c r="S74" s="969"/>
      <c r="T74" s="969"/>
      <c r="U74" s="969"/>
      <c r="V74" s="969"/>
      <c r="W74" s="969"/>
      <c r="X74" s="969"/>
      <c r="Y74" s="969"/>
      <c r="Z74" s="969"/>
      <c r="AA74" s="969"/>
      <c r="AB74" s="969"/>
      <c r="AC74" s="969"/>
      <c r="AD74" s="968"/>
      <c r="AE74" s="968"/>
      <c r="AF74" s="968"/>
      <c r="AG74" s="968"/>
      <c r="AH74" s="968"/>
      <c r="AI74" s="968"/>
      <c r="AJ74" s="968"/>
      <c r="AK74" s="968"/>
      <c r="AL74" s="968"/>
      <c r="AM74" s="968"/>
      <c r="AN74" s="968"/>
      <c r="AO74" s="968"/>
      <c r="AP74" s="968"/>
      <c r="AQ74" s="968"/>
      <c r="AR74" s="968"/>
      <c r="AS74" s="968"/>
      <c r="AT74" s="968"/>
      <c r="AU74" s="968"/>
      <c r="AV74" s="968"/>
      <c r="AW74" s="968"/>
      <c r="AX74" s="968"/>
      <c r="AY74" s="968"/>
      <c r="AZ74" s="968"/>
      <c r="BA74" s="968"/>
      <c r="BB74" s="968"/>
      <c r="BC74" s="968"/>
      <c r="BD74" s="968"/>
      <c r="BE74" s="968"/>
      <c r="BF74" s="968"/>
      <c r="BG74" s="968"/>
      <c r="BH74" s="968"/>
      <c r="BI74" s="968"/>
      <c r="BJ74" s="968"/>
      <c r="BK74" s="913"/>
      <c r="BL74" s="913"/>
    </row>
    <row r="75" spans="1:64" s="371" customFormat="1" ht="26.4" x14ac:dyDescent="0.3">
      <c r="A75" s="949">
        <v>194</v>
      </c>
      <c r="B75" s="1017"/>
      <c r="C75" s="948">
        <v>194</v>
      </c>
      <c r="D75" s="954" t="s">
        <v>305</v>
      </c>
      <c r="E75" s="954"/>
      <c r="F75" s="965"/>
      <c r="G75" s="966"/>
      <c r="H75" s="966"/>
      <c r="I75" s="966"/>
      <c r="J75" s="966"/>
      <c r="K75" s="966"/>
      <c r="L75" s="967"/>
      <c r="M75" s="968"/>
      <c r="N75" s="968"/>
      <c r="O75" s="969"/>
      <c r="P75" s="969"/>
      <c r="Q75" s="969"/>
      <c r="R75" s="969"/>
      <c r="S75" s="969"/>
      <c r="T75" s="969"/>
      <c r="U75" s="969"/>
      <c r="V75" s="969"/>
      <c r="W75" s="969"/>
      <c r="X75" s="969"/>
      <c r="Y75" s="969"/>
      <c r="Z75" s="969"/>
      <c r="AA75" s="969"/>
      <c r="AB75" s="969"/>
      <c r="AC75" s="969"/>
      <c r="AD75" s="968"/>
      <c r="AE75" s="968"/>
      <c r="AF75" s="968"/>
      <c r="AG75" s="968"/>
      <c r="AH75" s="968"/>
      <c r="AI75" s="968"/>
      <c r="AJ75" s="968"/>
      <c r="AK75" s="968"/>
      <c r="AL75" s="968"/>
      <c r="AM75" s="968"/>
      <c r="AN75" s="968"/>
      <c r="AO75" s="968"/>
      <c r="AP75" s="968"/>
      <c r="AQ75" s="968"/>
      <c r="AR75" s="968"/>
      <c r="AS75" s="968"/>
      <c r="AT75" s="968"/>
      <c r="AU75" s="968"/>
      <c r="AV75" s="968"/>
      <c r="AW75" s="968"/>
      <c r="AX75" s="968"/>
      <c r="AY75" s="968"/>
      <c r="AZ75" s="968"/>
      <c r="BA75" s="968"/>
      <c r="BB75" s="968"/>
      <c r="BC75" s="968"/>
      <c r="BD75" s="968"/>
      <c r="BE75" s="968"/>
      <c r="BF75" s="968"/>
      <c r="BG75" s="968"/>
      <c r="BH75" s="968"/>
      <c r="BI75" s="968"/>
      <c r="BJ75" s="968"/>
      <c r="BK75" s="913"/>
      <c r="BL75" s="913"/>
    </row>
    <row r="76" spans="1:64" s="371" customFormat="1" ht="28.8" x14ac:dyDescent="0.3">
      <c r="A76" s="949">
        <v>231</v>
      </c>
      <c r="B76" s="1017"/>
      <c r="C76" s="948">
        <v>231</v>
      </c>
      <c r="D76" s="998" t="s">
        <v>306</v>
      </c>
      <c r="E76" s="998"/>
      <c r="F76" s="965"/>
      <c r="G76" s="966"/>
      <c r="H76" s="966"/>
      <c r="I76" s="966"/>
      <c r="J76" s="966"/>
      <c r="K76" s="966"/>
      <c r="L76" s="967"/>
      <c r="M76" s="968"/>
      <c r="N76" s="968"/>
      <c r="O76" s="969"/>
      <c r="P76" s="969"/>
      <c r="Q76" s="969"/>
      <c r="R76" s="969"/>
      <c r="S76" s="969"/>
      <c r="T76" s="969"/>
      <c r="U76" s="969"/>
      <c r="V76" s="969"/>
      <c r="W76" s="969"/>
      <c r="X76" s="969"/>
      <c r="Y76" s="969"/>
      <c r="Z76" s="969"/>
      <c r="AA76" s="969"/>
      <c r="AB76" s="969"/>
      <c r="AC76" s="969"/>
      <c r="AD76" s="968"/>
      <c r="AE76" s="968"/>
      <c r="AF76" s="968"/>
      <c r="AG76" s="968"/>
      <c r="AH76" s="968"/>
      <c r="AI76" s="968"/>
      <c r="AJ76" s="968"/>
      <c r="AK76" s="968"/>
      <c r="AL76" s="968"/>
      <c r="AM76" s="968"/>
      <c r="AN76" s="968"/>
      <c r="AO76" s="968"/>
      <c r="AP76" s="968"/>
      <c r="AQ76" s="968"/>
      <c r="AR76" s="968"/>
      <c r="AS76" s="968"/>
      <c r="AT76" s="968"/>
      <c r="AU76" s="968"/>
      <c r="AV76" s="968"/>
      <c r="AW76" s="968"/>
      <c r="AX76" s="968"/>
      <c r="AY76" s="968"/>
      <c r="AZ76" s="968"/>
      <c r="BA76" s="968"/>
      <c r="BB76" s="968"/>
      <c r="BC76" s="968"/>
      <c r="BD76" s="968"/>
      <c r="BE76" s="968"/>
      <c r="BF76" s="968"/>
      <c r="BG76" s="968"/>
      <c r="BH76" s="968"/>
      <c r="BI76" s="968"/>
      <c r="BJ76" s="968"/>
      <c r="BK76" s="913"/>
      <c r="BL76" s="913"/>
    </row>
    <row r="77" spans="1:64" s="371" customFormat="1" ht="43.2" x14ac:dyDescent="0.3">
      <c r="A77" s="949">
        <v>251</v>
      </c>
      <c r="B77" s="1017"/>
      <c r="C77" s="948">
        <v>251</v>
      </c>
      <c r="D77" s="998" t="s">
        <v>307</v>
      </c>
      <c r="E77" s="998"/>
      <c r="F77" s="965"/>
      <c r="G77" s="966"/>
      <c r="H77" s="966"/>
      <c r="I77" s="966"/>
      <c r="J77" s="966"/>
      <c r="K77" s="966"/>
      <c r="L77" s="967"/>
      <c r="M77" s="968"/>
      <c r="N77" s="968"/>
      <c r="O77" s="969"/>
      <c r="P77" s="969"/>
      <c r="Q77" s="969"/>
      <c r="R77" s="969"/>
      <c r="S77" s="969"/>
      <c r="T77" s="969"/>
      <c r="U77" s="969"/>
      <c r="V77" s="969"/>
      <c r="W77" s="969"/>
      <c r="X77" s="969"/>
      <c r="Y77" s="969"/>
      <c r="Z77" s="969"/>
      <c r="AA77" s="969"/>
      <c r="AB77" s="969"/>
      <c r="AC77" s="969"/>
      <c r="AD77" s="968"/>
      <c r="AE77" s="968"/>
      <c r="AF77" s="968"/>
      <c r="AG77" s="968"/>
      <c r="AH77" s="968"/>
      <c r="AI77" s="968"/>
      <c r="AJ77" s="968"/>
      <c r="AK77" s="968"/>
      <c r="AL77" s="968"/>
      <c r="AM77" s="968"/>
      <c r="AN77" s="968"/>
      <c r="AO77" s="968"/>
      <c r="AP77" s="968"/>
      <c r="AQ77" s="968"/>
      <c r="AR77" s="968"/>
      <c r="AS77" s="968"/>
      <c r="AT77" s="968"/>
      <c r="AU77" s="968"/>
      <c r="AV77" s="968"/>
      <c r="AW77" s="968"/>
      <c r="AX77" s="968"/>
      <c r="AY77" s="968"/>
      <c r="AZ77" s="968"/>
      <c r="BA77" s="968"/>
      <c r="BB77" s="968"/>
      <c r="BC77" s="968"/>
      <c r="BD77" s="968"/>
      <c r="BE77" s="968"/>
      <c r="BF77" s="968"/>
      <c r="BG77" s="968"/>
      <c r="BH77" s="968"/>
      <c r="BI77" s="968"/>
      <c r="BJ77" s="968"/>
      <c r="BK77" s="913"/>
      <c r="BL77" s="913"/>
    </row>
    <row r="78" spans="1:64" s="371" customFormat="1" ht="28.8" x14ac:dyDescent="0.3">
      <c r="A78" s="949">
        <v>252</v>
      </c>
      <c r="B78" s="1017">
        <v>252</v>
      </c>
      <c r="C78" s="948">
        <v>252</v>
      </c>
      <c r="D78" s="998" t="s">
        <v>103</v>
      </c>
      <c r="E78" s="998"/>
      <c r="F78" s="965">
        <v>77495113</v>
      </c>
      <c r="G78" s="966">
        <v>112086085</v>
      </c>
      <c r="H78" s="966">
        <v>76251605</v>
      </c>
      <c r="I78" s="966">
        <v>20687441</v>
      </c>
      <c r="J78" s="966">
        <v>104995761</v>
      </c>
      <c r="K78" s="966">
        <v>64576551</v>
      </c>
      <c r="L78" s="967">
        <v>29944960</v>
      </c>
      <c r="M78" s="968">
        <v>27619351</v>
      </c>
      <c r="N78" s="968">
        <v>75445340</v>
      </c>
      <c r="O78" s="969">
        <v>22132869</v>
      </c>
      <c r="P78" s="969">
        <v>35838485</v>
      </c>
      <c r="Q78" s="969">
        <v>197636773</v>
      </c>
      <c r="R78" s="969">
        <v>50953747</v>
      </c>
      <c r="S78" s="969">
        <v>28403477</v>
      </c>
      <c r="T78" s="969">
        <v>1022671</v>
      </c>
      <c r="U78" s="969">
        <v>139815707</v>
      </c>
      <c r="V78" s="969">
        <v>300642058</v>
      </c>
      <c r="W78" s="969">
        <v>48272030</v>
      </c>
      <c r="X78" s="969">
        <v>20718194</v>
      </c>
      <c r="Y78" s="969">
        <v>255457122</v>
      </c>
      <c r="Z78" s="969">
        <v>79612167</v>
      </c>
      <c r="AA78" s="969">
        <v>6136015</v>
      </c>
      <c r="AB78" s="969">
        <v>172931189</v>
      </c>
      <c r="AC78" s="969">
        <v>22615328</v>
      </c>
      <c r="AD78" s="968">
        <v>21764753</v>
      </c>
      <c r="AE78" s="968">
        <v>195915978</v>
      </c>
      <c r="AF78" s="968">
        <v>14608407</v>
      </c>
      <c r="AG78" s="968">
        <v>146811343</v>
      </c>
      <c r="AH78" s="968">
        <v>50295547</v>
      </c>
      <c r="AI78" s="968">
        <v>30749175</v>
      </c>
      <c r="AJ78" s="968">
        <v>118297474</v>
      </c>
      <c r="AK78" s="968">
        <v>68560223</v>
      </c>
      <c r="AL78" s="968">
        <v>127999738</v>
      </c>
      <c r="AM78" s="968">
        <v>81359039</v>
      </c>
      <c r="AN78" s="968">
        <v>98997157</v>
      </c>
      <c r="AO78" s="968">
        <v>65574348</v>
      </c>
      <c r="AP78" s="968">
        <v>51604220</v>
      </c>
      <c r="AQ78" s="968">
        <v>73951242</v>
      </c>
      <c r="AR78" s="968">
        <v>83938330</v>
      </c>
      <c r="AS78" s="968">
        <v>21756510</v>
      </c>
      <c r="AT78" s="968">
        <v>18436681</v>
      </c>
      <c r="AU78" s="968">
        <v>37774767</v>
      </c>
      <c r="AV78" s="968">
        <v>6492569</v>
      </c>
      <c r="AW78" s="968">
        <v>635033673</v>
      </c>
      <c r="AX78" s="968">
        <v>39776920</v>
      </c>
      <c r="AY78" s="968">
        <v>3733190940</v>
      </c>
      <c r="AZ78" s="968">
        <v>13954281</v>
      </c>
      <c r="BA78" s="968">
        <v>14565841</v>
      </c>
      <c r="BB78" s="968">
        <v>17802293</v>
      </c>
      <c r="BC78" s="968">
        <v>91685653</v>
      </c>
      <c r="BD78" s="968">
        <v>3178019</v>
      </c>
      <c r="BE78" s="968">
        <v>8899148</v>
      </c>
      <c r="BF78" s="968">
        <v>66101931</v>
      </c>
      <c r="BG78" s="968">
        <v>75237536</v>
      </c>
      <c r="BH78" s="968">
        <v>661272174</v>
      </c>
      <c r="BI78" s="968">
        <v>39297662</v>
      </c>
      <c r="BJ78" s="968">
        <v>26462926</v>
      </c>
      <c r="BK78" s="913"/>
      <c r="BL78" s="913"/>
    </row>
    <row r="79" spans="1:64" s="371" customFormat="1" x14ac:dyDescent="0.3">
      <c r="A79" s="949">
        <v>253</v>
      </c>
      <c r="B79" s="1017">
        <v>253</v>
      </c>
      <c r="C79" s="948">
        <v>253</v>
      </c>
      <c r="D79" s="998" t="s">
        <v>104</v>
      </c>
      <c r="E79" s="998"/>
      <c r="F79" s="965">
        <v>840459</v>
      </c>
      <c r="G79" s="966">
        <v>3107591</v>
      </c>
      <c r="H79" s="966">
        <v>4056932</v>
      </c>
      <c r="I79" s="966">
        <v>949851</v>
      </c>
      <c r="J79" s="966">
        <v>4775395</v>
      </c>
      <c r="K79" s="966">
        <v>1257700</v>
      </c>
      <c r="L79" s="967">
        <v>1348047</v>
      </c>
      <c r="M79" s="968">
        <v>2311213</v>
      </c>
      <c r="N79" s="968">
        <v>2066090</v>
      </c>
      <c r="O79" s="969">
        <v>1334934</v>
      </c>
      <c r="P79" s="969">
        <v>1263135</v>
      </c>
      <c r="Q79" s="969">
        <v>3181068</v>
      </c>
      <c r="R79" s="969">
        <v>3162056</v>
      </c>
      <c r="S79" s="969">
        <v>425214</v>
      </c>
      <c r="T79" s="969">
        <v>48271</v>
      </c>
      <c r="U79" s="969">
        <v>3228905</v>
      </c>
      <c r="V79" s="969">
        <v>9858403</v>
      </c>
      <c r="W79" s="969">
        <v>3324494</v>
      </c>
      <c r="X79" s="969">
        <v>1278377</v>
      </c>
      <c r="Y79" s="969">
        <v>39826521</v>
      </c>
      <c r="Z79" s="969">
        <v>3818944</v>
      </c>
      <c r="AA79" s="969">
        <v>713857</v>
      </c>
      <c r="AB79" s="969">
        <v>6141169</v>
      </c>
      <c r="AC79" s="969">
        <v>468391</v>
      </c>
      <c r="AD79" s="968">
        <v>1010892</v>
      </c>
      <c r="AE79" s="968">
        <v>6857492</v>
      </c>
      <c r="AF79" s="968">
        <v>791070</v>
      </c>
      <c r="AG79" s="968">
        <v>5632618</v>
      </c>
      <c r="AH79" s="968">
        <v>4117614</v>
      </c>
      <c r="AI79" s="968">
        <v>1272203</v>
      </c>
      <c r="AJ79" s="968">
        <v>19177103</v>
      </c>
      <c r="AK79" s="968">
        <v>7884515</v>
      </c>
      <c r="AL79" s="968">
        <v>8563789</v>
      </c>
      <c r="AM79" s="968">
        <v>7091710</v>
      </c>
      <c r="AN79" s="968">
        <v>2087884</v>
      </c>
      <c r="AO79" s="968">
        <v>699008</v>
      </c>
      <c r="AP79" s="968">
        <v>2356900</v>
      </c>
      <c r="AQ79" s="968">
        <v>1986320</v>
      </c>
      <c r="AR79" s="968">
        <v>2162591</v>
      </c>
      <c r="AS79" s="968">
        <v>2421020</v>
      </c>
      <c r="AT79" s="968">
        <v>469889</v>
      </c>
      <c r="AU79" s="968">
        <v>1761970</v>
      </c>
      <c r="AV79" s="968">
        <v>737959</v>
      </c>
      <c r="AW79" s="968">
        <v>17194566</v>
      </c>
      <c r="AX79" s="968">
        <v>1154144</v>
      </c>
      <c r="AY79" s="968">
        <v>22443897</v>
      </c>
      <c r="AZ79" s="968">
        <v>769091</v>
      </c>
      <c r="BA79" s="968">
        <v>548998</v>
      </c>
      <c r="BB79" s="968">
        <v>1284913</v>
      </c>
      <c r="BC79" s="968">
        <v>2319923</v>
      </c>
      <c r="BD79" s="968">
        <v>909384</v>
      </c>
      <c r="BE79" s="968">
        <v>2845594</v>
      </c>
      <c r="BF79" s="968">
        <v>8073244</v>
      </c>
      <c r="BG79" s="968">
        <v>4231076</v>
      </c>
      <c r="BH79" s="968">
        <v>10684573</v>
      </c>
      <c r="BI79" s="968">
        <v>1471654</v>
      </c>
      <c r="BJ79" s="968">
        <v>2109549</v>
      </c>
      <c r="BK79" s="913"/>
      <c r="BL79" s="913"/>
    </row>
    <row r="80" spans="1:64" s="371" customFormat="1" x14ac:dyDescent="0.3">
      <c r="A80" s="949">
        <v>254</v>
      </c>
      <c r="B80" s="1017">
        <v>254</v>
      </c>
      <c r="C80" s="948">
        <v>254</v>
      </c>
      <c r="D80" s="998" t="s">
        <v>105</v>
      </c>
      <c r="E80" s="998"/>
      <c r="F80" s="965">
        <v>-93081470</v>
      </c>
      <c r="G80" s="966">
        <v>-164061428</v>
      </c>
      <c r="H80" s="966">
        <v>-123713529</v>
      </c>
      <c r="I80" s="966">
        <v>-49491212</v>
      </c>
      <c r="J80" s="966">
        <v>-177435473</v>
      </c>
      <c r="K80" s="966">
        <v>-70182810</v>
      </c>
      <c r="L80" s="967">
        <v>-37160759</v>
      </c>
      <c r="M80" s="968">
        <v>-51735380</v>
      </c>
      <c r="N80" s="968">
        <v>-98365356</v>
      </c>
      <c r="O80" s="969">
        <v>-32727155</v>
      </c>
      <c r="P80" s="969">
        <v>-61566764</v>
      </c>
      <c r="Q80" s="969">
        <v>-206775650</v>
      </c>
      <c r="R80" s="969">
        <v>-89915559</v>
      </c>
      <c r="S80" s="969">
        <v>-24111827</v>
      </c>
      <c r="T80" s="969">
        <v>-2292127</v>
      </c>
      <c r="U80" s="969">
        <v>-223510349</v>
      </c>
      <c r="V80" s="969">
        <v>-432228238</v>
      </c>
      <c r="W80" s="969">
        <v>-52866718</v>
      </c>
      <c r="X80" s="969">
        <v>-29864970</v>
      </c>
      <c r="Y80" s="969">
        <v>-377054935</v>
      </c>
      <c r="Z80" s="969">
        <v>-138163568</v>
      </c>
      <c r="AA80" s="969">
        <v>-26526581</v>
      </c>
      <c r="AB80" s="969">
        <v>-133965730</v>
      </c>
      <c r="AC80" s="969">
        <v>-29058282</v>
      </c>
      <c r="AD80" s="968">
        <v>-78111515</v>
      </c>
      <c r="AE80" s="968">
        <v>-374261448</v>
      </c>
      <c r="AF80" s="968">
        <v>-42663622</v>
      </c>
      <c r="AG80" s="968">
        <v>-259983904</v>
      </c>
      <c r="AH80" s="968">
        <v>-107600338</v>
      </c>
      <c r="AI80" s="968">
        <v>-42873024</v>
      </c>
      <c r="AJ80" s="968">
        <v>-329447135</v>
      </c>
      <c r="AK80" s="968">
        <v>-164037915</v>
      </c>
      <c r="AL80" s="968">
        <v>-290235718</v>
      </c>
      <c r="AM80" s="968">
        <v>-134265729</v>
      </c>
      <c r="AN80" s="968">
        <v>-125514974</v>
      </c>
      <c r="AO80" s="968">
        <v>-101061092</v>
      </c>
      <c r="AP80" s="968">
        <v>-125333190</v>
      </c>
      <c r="AQ80" s="968">
        <v>-101171152</v>
      </c>
      <c r="AR80" s="968">
        <v>-121089363</v>
      </c>
      <c r="AS80" s="968">
        <v>-33194230</v>
      </c>
      <c r="AT80" s="968">
        <v>-42039861</v>
      </c>
      <c r="AU80" s="968">
        <v>-62913771</v>
      </c>
      <c r="AV80" s="968">
        <v>-13461499</v>
      </c>
      <c r="AW80" s="968">
        <v>-663378236</v>
      </c>
      <c r="AX80" s="968">
        <v>-96252781</v>
      </c>
      <c r="AY80" s="968">
        <v>-2712327735</v>
      </c>
      <c r="AZ80" s="968">
        <v>-35489298</v>
      </c>
      <c r="BA80" s="968">
        <v>-24380903</v>
      </c>
      <c r="BB80" s="968">
        <v>-80299693</v>
      </c>
      <c r="BC80" s="968">
        <v>-277307215</v>
      </c>
      <c r="BD80" s="968">
        <v>-17516982</v>
      </c>
      <c r="BE80" s="968">
        <v>-32913226</v>
      </c>
      <c r="BF80" s="968">
        <v>-154129926</v>
      </c>
      <c r="BG80" s="968">
        <v>-166973003</v>
      </c>
      <c r="BH80" s="968">
        <v>-906431299</v>
      </c>
      <c r="BI80" s="968">
        <v>-83642769</v>
      </c>
      <c r="BJ80" s="968">
        <v>-40404136</v>
      </c>
      <c r="BK80" s="913"/>
      <c r="BL80" s="913"/>
    </row>
    <row r="81" spans="1:64" s="371" customFormat="1" x14ac:dyDescent="0.3">
      <c r="A81" s="949">
        <v>255</v>
      </c>
      <c r="B81" s="1017">
        <v>255</v>
      </c>
      <c r="C81" s="948">
        <v>255</v>
      </c>
      <c r="D81" s="998" t="s">
        <v>196</v>
      </c>
      <c r="E81" s="998"/>
      <c r="F81" s="965">
        <v>-5171135</v>
      </c>
      <c r="G81" s="966">
        <v>3034990</v>
      </c>
      <c r="H81" s="966">
        <v>-2128126</v>
      </c>
      <c r="I81" s="966">
        <v>-592852</v>
      </c>
      <c r="J81" s="966">
        <v>-2457791</v>
      </c>
      <c r="K81" s="966">
        <v>-440379</v>
      </c>
      <c r="L81" s="967">
        <v>-1498988</v>
      </c>
      <c r="M81" s="968">
        <v>-413996</v>
      </c>
      <c r="N81" s="968">
        <v>10874207</v>
      </c>
      <c r="O81" s="969">
        <v>-719642</v>
      </c>
      <c r="P81" s="969">
        <v>-363039</v>
      </c>
      <c r="Q81" s="969">
        <v>64814980</v>
      </c>
      <c r="R81" s="969">
        <v>-2394288</v>
      </c>
      <c r="S81" s="969">
        <v>208170</v>
      </c>
      <c r="T81" s="969">
        <v>1069747</v>
      </c>
      <c r="U81" s="969">
        <v>-1806683</v>
      </c>
      <c r="V81" s="969">
        <v>13650255</v>
      </c>
      <c r="W81" s="969">
        <v>2638063</v>
      </c>
      <c r="X81" s="969">
        <v>-470374</v>
      </c>
      <c r="Y81" s="969">
        <v>20275218</v>
      </c>
      <c r="Z81" s="969">
        <v>9748411</v>
      </c>
      <c r="AA81" s="969">
        <v>-120536</v>
      </c>
      <c r="AB81" s="969">
        <v>-5819775</v>
      </c>
      <c r="AC81" s="969">
        <v>-816123</v>
      </c>
      <c r="AD81" s="968">
        <v>-920243</v>
      </c>
      <c r="AE81" s="968">
        <v>-3839244</v>
      </c>
      <c r="AF81" s="968">
        <v>47969</v>
      </c>
      <c r="AG81" s="968">
        <v>9906495</v>
      </c>
      <c r="AH81" s="968">
        <v>-602371</v>
      </c>
      <c r="AI81" s="968">
        <v>-1209528</v>
      </c>
      <c r="AJ81" s="968">
        <v>1832146</v>
      </c>
      <c r="AK81" s="968">
        <v>869558</v>
      </c>
      <c r="AL81" s="968">
        <v>841235</v>
      </c>
      <c r="AM81" s="968">
        <v>-2250075</v>
      </c>
      <c r="AN81" s="968">
        <v>528408</v>
      </c>
      <c r="AO81" s="968">
        <v>11939050</v>
      </c>
      <c r="AP81" s="968">
        <v>426587</v>
      </c>
      <c r="AQ81" s="968">
        <v>1366483</v>
      </c>
      <c r="AR81" s="968">
        <v>12523547</v>
      </c>
      <c r="AS81" s="968">
        <v>2413656</v>
      </c>
      <c r="AT81" s="968">
        <v>159851</v>
      </c>
      <c r="AU81" s="968">
        <v>849939</v>
      </c>
      <c r="AV81" s="968">
        <v>117598</v>
      </c>
      <c r="AW81" s="968">
        <v>18086619</v>
      </c>
      <c r="AX81" s="968">
        <v>2183638</v>
      </c>
      <c r="AY81" s="968">
        <v>157689819</v>
      </c>
      <c r="AZ81" s="968">
        <v>1205628</v>
      </c>
      <c r="BA81" s="968">
        <v>527577</v>
      </c>
      <c r="BB81" s="968">
        <v>-2896581</v>
      </c>
      <c r="BC81" s="968">
        <v>-2084464</v>
      </c>
      <c r="BD81" s="968">
        <v>1708564</v>
      </c>
      <c r="BE81" s="968">
        <v>303139</v>
      </c>
      <c r="BF81" s="968">
        <v>1156150</v>
      </c>
      <c r="BG81" s="968">
        <v>1892560</v>
      </c>
      <c r="BH81" s="968">
        <v>-26439</v>
      </c>
      <c r="BI81" s="968">
        <v>524028</v>
      </c>
      <c r="BJ81" s="968">
        <v>736459</v>
      </c>
      <c r="BK81" s="913"/>
      <c r="BL81" s="913"/>
    </row>
    <row r="82" spans="1:64" s="371" customFormat="1" ht="28.8" x14ac:dyDescent="0.3">
      <c r="A82" s="949">
        <v>274</v>
      </c>
      <c r="B82" s="1017"/>
      <c r="C82" s="948">
        <v>274</v>
      </c>
      <c r="D82" s="953" t="s">
        <v>308</v>
      </c>
      <c r="E82" s="953"/>
      <c r="F82" s="965"/>
      <c r="G82" s="966"/>
      <c r="H82" s="966"/>
      <c r="I82" s="966"/>
      <c r="J82" s="966"/>
      <c r="K82" s="966"/>
      <c r="L82" s="967"/>
      <c r="M82" s="968"/>
      <c r="N82" s="968"/>
      <c r="O82" s="969"/>
      <c r="P82" s="969"/>
      <c r="Q82" s="969"/>
      <c r="R82" s="969"/>
      <c r="S82" s="969"/>
      <c r="T82" s="969"/>
      <c r="U82" s="969"/>
      <c r="V82" s="969"/>
      <c r="W82" s="969"/>
      <c r="X82" s="969"/>
      <c r="Y82" s="969"/>
      <c r="Z82" s="969"/>
      <c r="AA82" s="969"/>
      <c r="AB82" s="969"/>
      <c r="AC82" s="969"/>
      <c r="AD82" s="968"/>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968"/>
      <c r="BD82" s="968"/>
      <c r="BE82" s="968"/>
      <c r="BF82" s="968"/>
      <c r="BG82" s="968"/>
      <c r="BH82" s="968"/>
      <c r="BI82" s="968"/>
      <c r="BJ82" s="968"/>
      <c r="BK82" s="913"/>
      <c r="BL82" s="913"/>
    </row>
    <row r="83" spans="1:64" s="371" customFormat="1" ht="26.4" x14ac:dyDescent="0.3">
      <c r="A83" s="949">
        <v>294</v>
      </c>
      <c r="B83" s="1017"/>
      <c r="C83" s="948">
        <v>294</v>
      </c>
      <c r="D83" s="954" t="s">
        <v>523</v>
      </c>
      <c r="E83" s="954"/>
      <c r="F83" s="965"/>
      <c r="G83" s="966"/>
      <c r="H83" s="966"/>
      <c r="I83" s="966"/>
      <c r="J83" s="966"/>
      <c r="K83" s="966"/>
      <c r="L83" s="967"/>
      <c r="M83" s="968"/>
      <c r="N83" s="968"/>
      <c r="O83" s="969"/>
      <c r="P83" s="969"/>
      <c r="Q83" s="969"/>
      <c r="R83" s="969"/>
      <c r="S83" s="969"/>
      <c r="T83" s="969"/>
      <c r="U83" s="969"/>
      <c r="V83" s="969"/>
      <c r="W83" s="969"/>
      <c r="X83" s="969"/>
      <c r="Y83" s="969"/>
      <c r="Z83" s="969"/>
      <c r="AA83" s="969"/>
      <c r="AB83" s="969"/>
      <c r="AC83" s="969"/>
      <c r="AD83" s="968"/>
      <c r="AE83" s="968"/>
      <c r="AF83" s="968"/>
      <c r="AG83" s="968"/>
      <c r="AH83" s="968"/>
      <c r="AI83" s="968"/>
      <c r="AJ83" s="968"/>
      <c r="AK83" s="968"/>
      <c r="AL83" s="968"/>
      <c r="AM83" s="968"/>
      <c r="AN83" s="968"/>
      <c r="AO83" s="968"/>
      <c r="AP83" s="968"/>
      <c r="AQ83" s="968"/>
      <c r="AR83" s="968"/>
      <c r="AS83" s="968"/>
      <c r="AT83" s="968"/>
      <c r="AU83" s="968"/>
      <c r="AV83" s="968"/>
      <c r="AW83" s="968"/>
      <c r="AX83" s="968"/>
      <c r="AY83" s="968"/>
      <c r="AZ83" s="968"/>
      <c r="BA83" s="968"/>
      <c r="BB83" s="968"/>
      <c r="BC83" s="968"/>
      <c r="BD83" s="968"/>
      <c r="BE83" s="968"/>
      <c r="BF83" s="968"/>
      <c r="BG83" s="968"/>
      <c r="BH83" s="968"/>
      <c r="BI83" s="968"/>
      <c r="BJ83" s="968"/>
      <c r="BK83" s="913"/>
      <c r="BL83" s="913"/>
    </row>
    <row r="84" spans="1:64" s="371" customFormat="1" ht="39.6" x14ac:dyDescent="0.3">
      <c r="A84" s="949">
        <v>314</v>
      </c>
      <c r="B84" s="1017"/>
      <c r="C84" s="948">
        <v>314</v>
      </c>
      <c r="D84" s="954" t="s">
        <v>309</v>
      </c>
      <c r="E84" s="954"/>
      <c r="F84" s="965"/>
      <c r="G84" s="966"/>
      <c r="H84" s="966"/>
      <c r="I84" s="966"/>
      <c r="J84" s="966"/>
      <c r="K84" s="966"/>
      <c r="L84" s="967"/>
      <c r="M84" s="968"/>
      <c r="N84" s="968"/>
      <c r="O84" s="969"/>
      <c r="P84" s="969"/>
      <c r="Q84" s="969"/>
      <c r="R84" s="969"/>
      <c r="S84" s="969"/>
      <c r="T84" s="969"/>
      <c r="U84" s="969"/>
      <c r="V84" s="969"/>
      <c r="W84" s="969"/>
      <c r="X84" s="969"/>
      <c r="Y84" s="969"/>
      <c r="Z84" s="969"/>
      <c r="AA84" s="969"/>
      <c r="AB84" s="969"/>
      <c r="AC84" s="969"/>
      <c r="AD84" s="968"/>
      <c r="AE84" s="968"/>
      <c r="AF84" s="968"/>
      <c r="AG84" s="968"/>
      <c r="AH84" s="968"/>
      <c r="AI84" s="968"/>
      <c r="AJ84" s="968"/>
      <c r="AK84" s="968"/>
      <c r="AL84" s="968"/>
      <c r="AM84" s="968"/>
      <c r="AN84" s="968"/>
      <c r="AO84" s="968"/>
      <c r="AP84" s="968"/>
      <c r="AQ84" s="968"/>
      <c r="AR84" s="968"/>
      <c r="AS84" s="968"/>
      <c r="AT84" s="968"/>
      <c r="AU84" s="968"/>
      <c r="AV84" s="968"/>
      <c r="AW84" s="968"/>
      <c r="AX84" s="968"/>
      <c r="AY84" s="968"/>
      <c r="AZ84" s="968"/>
      <c r="BA84" s="968"/>
      <c r="BB84" s="968"/>
      <c r="BC84" s="968"/>
      <c r="BD84" s="968"/>
      <c r="BE84" s="968"/>
      <c r="BF84" s="968"/>
      <c r="BG84" s="968"/>
      <c r="BH84" s="968"/>
      <c r="BI84" s="968"/>
      <c r="BJ84" s="968"/>
      <c r="BK84" s="913"/>
      <c r="BL84" s="913"/>
    </row>
    <row r="85" spans="1:64" s="371" customFormat="1" ht="39.6" x14ac:dyDescent="0.3">
      <c r="A85" s="949">
        <v>315</v>
      </c>
      <c r="B85" s="1017"/>
      <c r="C85" s="948">
        <v>315</v>
      </c>
      <c r="D85" s="954" t="s">
        <v>310</v>
      </c>
      <c r="E85" s="954"/>
      <c r="F85" s="965"/>
      <c r="G85" s="966"/>
      <c r="H85" s="966"/>
      <c r="I85" s="966"/>
      <c r="J85" s="966"/>
      <c r="K85" s="966"/>
      <c r="L85" s="967"/>
      <c r="M85" s="968"/>
      <c r="N85" s="968"/>
      <c r="O85" s="969"/>
      <c r="P85" s="969"/>
      <c r="Q85" s="969"/>
      <c r="R85" s="969"/>
      <c r="S85" s="969"/>
      <c r="T85" s="969"/>
      <c r="U85" s="969"/>
      <c r="V85" s="969"/>
      <c r="W85" s="969"/>
      <c r="X85" s="969"/>
      <c r="Y85" s="969"/>
      <c r="Z85" s="969"/>
      <c r="AA85" s="969"/>
      <c r="AB85" s="969"/>
      <c r="AC85" s="969"/>
      <c r="AD85" s="968"/>
      <c r="AE85" s="968"/>
      <c r="AF85" s="968"/>
      <c r="AG85" s="968"/>
      <c r="AH85" s="968"/>
      <c r="AI85" s="968"/>
      <c r="AJ85" s="968"/>
      <c r="AK85" s="968"/>
      <c r="AL85" s="968"/>
      <c r="AM85" s="968"/>
      <c r="AN85" s="968"/>
      <c r="AO85" s="968"/>
      <c r="AP85" s="968"/>
      <c r="AQ85" s="968"/>
      <c r="AR85" s="968"/>
      <c r="AS85" s="968"/>
      <c r="AT85" s="968"/>
      <c r="AU85" s="968"/>
      <c r="AV85" s="968"/>
      <c r="AW85" s="968"/>
      <c r="AX85" s="968"/>
      <c r="AY85" s="968"/>
      <c r="AZ85" s="968"/>
      <c r="BA85" s="968"/>
      <c r="BB85" s="968"/>
      <c r="BC85" s="968"/>
      <c r="BD85" s="968"/>
      <c r="BE85" s="968"/>
      <c r="BF85" s="968"/>
      <c r="BG85" s="968"/>
      <c r="BH85" s="968"/>
      <c r="BI85" s="968"/>
      <c r="BJ85" s="968"/>
      <c r="BK85" s="913"/>
      <c r="BL85" s="913"/>
    </row>
    <row r="86" spans="1:64" s="371" customFormat="1" ht="26.4" x14ac:dyDescent="0.3">
      <c r="A86" s="949">
        <v>316</v>
      </c>
      <c r="B86" s="1017"/>
      <c r="C86" s="948">
        <v>316</v>
      </c>
      <c r="D86" s="954" t="s">
        <v>311</v>
      </c>
      <c r="E86" s="954"/>
      <c r="F86" s="965"/>
      <c r="G86" s="966"/>
      <c r="H86" s="966"/>
      <c r="I86" s="966"/>
      <c r="J86" s="966"/>
      <c r="K86" s="966"/>
      <c r="L86" s="967"/>
      <c r="M86" s="968"/>
      <c r="N86" s="968"/>
      <c r="O86" s="969"/>
      <c r="P86" s="969"/>
      <c r="Q86" s="969"/>
      <c r="R86" s="969"/>
      <c r="S86" s="969"/>
      <c r="T86" s="969"/>
      <c r="U86" s="969"/>
      <c r="V86" s="969"/>
      <c r="W86" s="969"/>
      <c r="X86" s="969"/>
      <c r="Y86" s="969"/>
      <c r="Z86" s="969"/>
      <c r="AA86" s="969"/>
      <c r="AB86" s="969"/>
      <c r="AC86" s="969"/>
      <c r="AD86" s="968"/>
      <c r="AE86" s="968"/>
      <c r="AF86" s="968"/>
      <c r="AG86" s="968"/>
      <c r="AH86" s="968"/>
      <c r="AI86" s="968"/>
      <c r="AJ86" s="968"/>
      <c r="AK86" s="968"/>
      <c r="AL86" s="968"/>
      <c r="AM86" s="968"/>
      <c r="AN86" s="968"/>
      <c r="AO86" s="968"/>
      <c r="AP86" s="968"/>
      <c r="AQ86" s="968"/>
      <c r="AR86" s="968"/>
      <c r="AS86" s="968"/>
      <c r="AT86" s="968"/>
      <c r="AU86" s="968"/>
      <c r="AV86" s="968"/>
      <c r="AW86" s="968"/>
      <c r="AX86" s="968"/>
      <c r="AY86" s="968"/>
      <c r="AZ86" s="968"/>
      <c r="BA86" s="968"/>
      <c r="BB86" s="968"/>
      <c r="BC86" s="968"/>
      <c r="BD86" s="968"/>
      <c r="BE86" s="968"/>
      <c r="BF86" s="968"/>
      <c r="BG86" s="968"/>
      <c r="BH86" s="968"/>
      <c r="BI86" s="968"/>
      <c r="BJ86" s="968"/>
      <c r="BK86" s="913"/>
      <c r="BL86" s="913"/>
    </row>
    <row r="87" spans="1:64" s="371" customFormat="1" x14ac:dyDescent="0.3">
      <c r="A87" s="949">
        <v>320</v>
      </c>
      <c r="B87" s="1017"/>
      <c r="C87" s="948">
        <v>320</v>
      </c>
      <c r="D87" s="998" t="s">
        <v>1054</v>
      </c>
      <c r="E87" s="998"/>
      <c r="F87" s="965"/>
      <c r="G87" s="966"/>
      <c r="H87" s="966"/>
      <c r="I87" s="966"/>
      <c r="J87" s="966"/>
      <c r="K87" s="966"/>
      <c r="L87" s="967"/>
      <c r="M87" s="968"/>
      <c r="N87" s="968"/>
      <c r="O87" s="969"/>
      <c r="P87" s="969"/>
      <c r="Q87" s="969"/>
      <c r="R87" s="969"/>
      <c r="S87" s="969"/>
      <c r="T87" s="969"/>
      <c r="U87" s="969"/>
      <c r="V87" s="969"/>
      <c r="W87" s="969"/>
      <c r="X87" s="969"/>
      <c r="Y87" s="969"/>
      <c r="Z87" s="969"/>
      <c r="AA87" s="969"/>
      <c r="AB87" s="969"/>
      <c r="AC87" s="969"/>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8"/>
      <c r="BA87" s="968"/>
      <c r="BB87" s="968"/>
      <c r="BC87" s="968"/>
      <c r="BD87" s="968"/>
      <c r="BE87" s="968"/>
      <c r="BF87" s="968"/>
      <c r="BG87" s="968"/>
      <c r="BH87" s="968"/>
      <c r="BI87" s="968"/>
      <c r="BJ87" s="968"/>
      <c r="BK87" s="913"/>
      <c r="BL87" s="913"/>
    </row>
    <row r="88" spans="1:64" s="371" customFormat="1" x14ac:dyDescent="0.3">
      <c r="A88" s="949">
        <v>321</v>
      </c>
      <c r="B88" s="1017"/>
      <c r="C88" s="948">
        <v>321</v>
      </c>
      <c r="D88" s="998" t="s">
        <v>1055</v>
      </c>
      <c r="E88" s="998"/>
      <c r="F88" s="965"/>
      <c r="G88" s="966"/>
      <c r="H88" s="966"/>
      <c r="I88" s="966"/>
      <c r="J88" s="966"/>
      <c r="K88" s="966"/>
      <c r="L88" s="967"/>
      <c r="M88" s="968"/>
      <c r="N88" s="968"/>
      <c r="O88" s="969"/>
      <c r="P88" s="969"/>
      <c r="Q88" s="969"/>
      <c r="R88" s="969"/>
      <c r="S88" s="969"/>
      <c r="T88" s="969"/>
      <c r="U88" s="969"/>
      <c r="V88" s="969"/>
      <c r="W88" s="969"/>
      <c r="X88" s="969"/>
      <c r="Y88" s="969"/>
      <c r="Z88" s="969"/>
      <c r="AA88" s="969"/>
      <c r="AB88" s="969"/>
      <c r="AC88" s="969"/>
      <c r="AD88" s="968"/>
      <c r="AE88" s="968"/>
      <c r="AF88" s="968"/>
      <c r="AG88" s="968"/>
      <c r="AH88" s="968"/>
      <c r="AI88" s="968"/>
      <c r="AJ88" s="968"/>
      <c r="AK88" s="968"/>
      <c r="AL88" s="968"/>
      <c r="AM88" s="968"/>
      <c r="AN88" s="968"/>
      <c r="AO88" s="968"/>
      <c r="AP88" s="968"/>
      <c r="AQ88" s="968"/>
      <c r="AR88" s="968"/>
      <c r="AS88" s="968"/>
      <c r="AT88" s="968"/>
      <c r="AU88" s="968"/>
      <c r="AV88" s="968"/>
      <c r="AW88" s="968"/>
      <c r="AX88" s="968"/>
      <c r="AY88" s="968"/>
      <c r="AZ88" s="968"/>
      <c r="BA88" s="968"/>
      <c r="BB88" s="968"/>
      <c r="BC88" s="968"/>
      <c r="BD88" s="968"/>
      <c r="BE88" s="968"/>
      <c r="BF88" s="968"/>
      <c r="BG88" s="968"/>
      <c r="BH88" s="968"/>
      <c r="BI88" s="968"/>
      <c r="BJ88" s="968"/>
      <c r="BK88" s="913"/>
      <c r="BL88" s="913"/>
    </row>
    <row r="89" spans="1:64" s="371" customFormat="1" ht="28.8" x14ac:dyDescent="0.3">
      <c r="A89" s="949">
        <v>322</v>
      </c>
      <c r="B89" s="1017"/>
      <c r="C89" s="948">
        <v>322</v>
      </c>
      <c r="D89" s="998" t="s">
        <v>1056</v>
      </c>
      <c r="E89" s="998"/>
      <c r="F89" s="965"/>
      <c r="G89" s="966"/>
      <c r="H89" s="966"/>
      <c r="I89" s="966"/>
      <c r="J89" s="966"/>
      <c r="K89" s="966"/>
      <c r="L89" s="967"/>
      <c r="M89" s="968"/>
      <c r="N89" s="968"/>
      <c r="O89" s="969"/>
      <c r="P89" s="969"/>
      <c r="Q89" s="969"/>
      <c r="R89" s="969"/>
      <c r="S89" s="969"/>
      <c r="T89" s="969"/>
      <c r="U89" s="969"/>
      <c r="V89" s="969"/>
      <c r="W89" s="969"/>
      <c r="X89" s="969"/>
      <c r="Y89" s="969"/>
      <c r="Z89" s="969"/>
      <c r="AA89" s="969"/>
      <c r="AB89" s="969"/>
      <c r="AC89" s="969"/>
      <c r="AD89" s="968"/>
      <c r="AE89" s="968"/>
      <c r="AF89" s="968"/>
      <c r="AG89" s="968"/>
      <c r="AH89" s="968"/>
      <c r="AI89" s="968"/>
      <c r="AJ89" s="968"/>
      <c r="AK89" s="968"/>
      <c r="AL89" s="968"/>
      <c r="AM89" s="968"/>
      <c r="AN89" s="968"/>
      <c r="AO89" s="968"/>
      <c r="AP89" s="968"/>
      <c r="AQ89" s="968"/>
      <c r="AR89" s="968"/>
      <c r="AS89" s="968"/>
      <c r="AT89" s="968"/>
      <c r="AU89" s="968"/>
      <c r="AV89" s="968"/>
      <c r="AW89" s="968"/>
      <c r="AX89" s="968"/>
      <c r="AY89" s="968"/>
      <c r="AZ89" s="968"/>
      <c r="BA89" s="968"/>
      <c r="BB89" s="968"/>
      <c r="BC89" s="968"/>
      <c r="BD89" s="968"/>
      <c r="BE89" s="968"/>
      <c r="BF89" s="968"/>
      <c r="BG89" s="968"/>
      <c r="BH89" s="968"/>
      <c r="BI89" s="968"/>
      <c r="BJ89" s="968"/>
      <c r="BK89" s="913"/>
      <c r="BL89" s="913"/>
    </row>
    <row r="90" spans="1:64" s="371" customFormat="1" x14ac:dyDescent="0.3">
      <c r="A90" s="949">
        <v>323</v>
      </c>
      <c r="B90" s="1017"/>
      <c r="C90" s="948">
        <v>323</v>
      </c>
      <c r="D90" s="998" t="s">
        <v>256</v>
      </c>
      <c r="E90" s="998"/>
      <c r="F90" s="965"/>
      <c r="G90" s="966"/>
      <c r="H90" s="966"/>
      <c r="I90" s="966"/>
      <c r="J90" s="966"/>
      <c r="K90" s="966"/>
      <c r="L90" s="967"/>
      <c r="M90" s="968"/>
      <c r="N90" s="968"/>
      <c r="O90" s="969"/>
      <c r="P90" s="969"/>
      <c r="Q90" s="969"/>
      <c r="R90" s="969"/>
      <c r="S90" s="969"/>
      <c r="T90" s="969"/>
      <c r="U90" s="969"/>
      <c r="V90" s="969"/>
      <c r="W90" s="969"/>
      <c r="X90" s="969"/>
      <c r="Y90" s="969"/>
      <c r="Z90" s="969"/>
      <c r="AA90" s="969"/>
      <c r="AB90" s="969"/>
      <c r="AC90" s="969"/>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968"/>
      <c r="BG90" s="968"/>
      <c r="BH90" s="968"/>
      <c r="BI90" s="968"/>
      <c r="BJ90" s="968"/>
      <c r="BK90" s="913"/>
      <c r="BL90" s="913"/>
    </row>
    <row r="91" spans="1:64" s="371" customFormat="1" ht="28.8" x14ac:dyDescent="0.3">
      <c r="A91" s="949">
        <v>324</v>
      </c>
      <c r="B91" s="1017"/>
      <c r="C91" s="948">
        <v>324</v>
      </c>
      <c r="D91" s="998" t="s">
        <v>1057</v>
      </c>
      <c r="E91" s="998"/>
      <c r="F91" s="965"/>
      <c r="G91" s="966"/>
      <c r="H91" s="966"/>
      <c r="I91" s="966"/>
      <c r="J91" s="966"/>
      <c r="K91" s="966"/>
      <c r="L91" s="967"/>
      <c r="M91" s="968"/>
      <c r="N91" s="968"/>
      <c r="O91" s="969"/>
      <c r="P91" s="969"/>
      <c r="Q91" s="969"/>
      <c r="R91" s="969"/>
      <c r="S91" s="969"/>
      <c r="T91" s="969"/>
      <c r="U91" s="969"/>
      <c r="V91" s="969"/>
      <c r="W91" s="969"/>
      <c r="X91" s="969"/>
      <c r="Y91" s="969"/>
      <c r="Z91" s="969"/>
      <c r="AA91" s="969"/>
      <c r="AB91" s="969"/>
      <c r="AC91" s="969"/>
      <c r="AD91" s="968"/>
      <c r="AE91" s="968"/>
      <c r="AF91" s="968"/>
      <c r="AG91" s="968"/>
      <c r="AH91" s="968"/>
      <c r="AI91" s="968"/>
      <c r="AJ91" s="968"/>
      <c r="AK91" s="968"/>
      <c r="AL91" s="968"/>
      <c r="AM91" s="968"/>
      <c r="AN91" s="968"/>
      <c r="AO91" s="968"/>
      <c r="AP91" s="968"/>
      <c r="AQ91" s="968"/>
      <c r="AR91" s="968"/>
      <c r="AS91" s="968"/>
      <c r="AT91" s="968"/>
      <c r="AU91" s="968"/>
      <c r="AV91" s="968"/>
      <c r="AW91" s="968"/>
      <c r="AX91" s="968"/>
      <c r="AY91" s="968"/>
      <c r="AZ91" s="968"/>
      <c r="BA91" s="968"/>
      <c r="BB91" s="968"/>
      <c r="BC91" s="968"/>
      <c r="BD91" s="968"/>
      <c r="BE91" s="968"/>
      <c r="BF91" s="968"/>
      <c r="BG91" s="968"/>
      <c r="BH91" s="968"/>
      <c r="BI91" s="968"/>
      <c r="BJ91" s="968"/>
      <c r="BK91" s="913"/>
      <c r="BL91" s="913"/>
    </row>
    <row r="92" spans="1:64" s="371" customFormat="1" ht="28.8" x14ac:dyDescent="0.3">
      <c r="A92" s="949">
        <v>325</v>
      </c>
      <c r="B92" s="1017"/>
      <c r="C92" s="948">
        <v>325</v>
      </c>
      <c r="D92" s="998" t="s">
        <v>1058</v>
      </c>
      <c r="E92" s="998"/>
      <c r="F92" s="965"/>
      <c r="G92" s="966"/>
      <c r="H92" s="966"/>
      <c r="I92" s="966"/>
      <c r="J92" s="966"/>
      <c r="K92" s="966"/>
      <c r="L92" s="967"/>
      <c r="M92" s="968"/>
      <c r="N92" s="968"/>
      <c r="O92" s="969"/>
      <c r="P92" s="969"/>
      <c r="Q92" s="969"/>
      <c r="R92" s="969"/>
      <c r="S92" s="969"/>
      <c r="T92" s="969"/>
      <c r="U92" s="969"/>
      <c r="V92" s="969"/>
      <c r="W92" s="969"/>
      <c r="X92" s="969"/>
      <c r="Y92" s="969"/>
      <c r="Z92" s="969"/>
      <c r="AA92" s="969"/>
      <c r="AB92" s="969"/>
      <c r="AC92" s="969"/>
      <c r="AD92" s="968"/>
      <c r="AE92" s="968"/>
      <c r="AF92" s="968"/>
      <c r="AG92" s="968"/>
      <c r="AH92" s="968"/>
      <c r="AI92" s="968"/>
      <c r="AJ92" s="968"/>
      <c r="AK92" s="968"/>
      <c r="AL92" s="968"/>
      <c r="AM92" s="968"/>
      <c r="AN92" s="968"/>
      <c r="AO92" s="968"/>
      <c r="AP92" s="968"/>
      <c r="AQ92" s="968"/>
      <c r="AR92" s="968"/>
      <c r="AS92" s="968"/>
      <c r="AT92" s="968"/>
      <c r="AU92" s="968"/>
      <c r="AV92" s="968"/>
      <c r="AW92" s="968"/>
      <c r="AX92" s="968"/>
      <c r="AY92" s="968"/>
      <c r="AZ92" s="968"/>
      <c r="BA92" s="968"/>
      <c r="BB92" s="968"/>
      <c r="BC92" s="968"/>
      <c r="BD92" s="968"/>
      <c r="BE92" s="968"/>
      <c r="BF92" s="968"/>
      <c r="BG92" s="968"/>
      <c r="BH92" s="968"/>
      <c r="BI92" s="968"/>
      <c r="BJ92" s="968"/>
      <c r="BK92" s="913"/>
      <c r="BL92" s="913"/>
    </row>
    <row r="93" spans="1:64" s="371" customFormat="1" ht="26.4" x14ac:dyDescent="0.3">
      <c r="A93" s="949">
        <v>326</v>
      </c>
      <c r="B93" s="1017"/>
      <c r="C93" s="948">
        <v>326</v>
      </c>
      <c r="D93" s="954" t="s">
        <v>1059</v>
      </c>
      <c r="E93" s="954"/>
      <c r="F93" s="965"/>
      <c r="G93" s="966"/>
      <c r="H93" s="966"/>
      <c r="I93" s="966"/>
      <c r="J93" s="966"/>
      <c r="K93" s="966"/>
      <c r="L93" s="967"/>
      <c r="M93" s="968"/>
      <c r="N93" s="968"/>
      <c r="O93" s="969"/>
      <c r="P93" s="969"/>
      <c r="Q93" s="969"/>
      <c r="R93" s="969"/>
      <c r="S93" s="969"/>
      <c r="T93" s="969"/>
      <c r="U93" s="969"/>
      <c r="V93" s="969"/>
      <c r="W93" s="969"/>
      <c r="X93" s="969"/>
      <c r="Y93" s="969"/>
      <c r="Z93" s="969"/>
      <c r="AA93" s="969"/>
      <c r="AB93" s="969"/>
      <c r="AC93" s="969"/>
      <c r="AD93" s="968"/>
      <c r="AE93" s="968"/>
      <c r="AF93" s="968"/>
      <c r="AG93" s="968"/>
      <c r="AH93" s="968"/>
      <c r="AI93" s="968"/>
      <c r="AJ93" s="968"/>
      <c r="AK93" s="968"/>
      <c r="AL93" s="968"/>
      <c r="AM93" s="968"/>
      <c r="AN93" s="968"/>
      <c r="AO93" s="968"/>
      <c r="AP93" s="968"/>
      <c r="AQ93" s="968"/>
      <c r="AR93" s="968"/>
      <c r="AS93" s="968"/>
      <c r="AT93" s="968"/>
      <c r="AU93" s="968"/>
      <c r="AV93" s="968"/>
      <c r="AW93" s="968"/>
      <c r="AX93" s="968"/>
      <c r="AY93" s="968"/>
      <c r="AZ93" s="968"/>
      <c r="BA93" s="968"/>
      <c r="BB93" s="968"/>
      <c r="BC93" s="968"/>
      <c r="BD93" s="968"/>
      <c r="BE93" s="968"/>
      <c r="BF93" s="968"/>
      <c r="BG93" s="968"/>
      <c r="BH93" s="968"/>
      <c r="BI93" s="968"/>
      <c r="BJ93" s="968"/>
      <c r="BK93" s="913"/>
      <c r="BL93" s="913"/>
    </row>
    <row r="94" spans="1:64" s="371" customFormat="1" x14ac:dyDescent="0.3">
      <c r="A94" s="949">
        <v>327</v>
      </c>
      <c r="B94" s="1017"/>
      <c r="C94" s="948">
        <v>327</v>
      </c>
      <c r="D94" s="998" t="e">
        <v>#VALUE!</v>
      </c>
      <c r="E94" s="998"/>
      <c r="F94" s="965"/>
      <c r="G94" s="966"/>
      <c r="H94" s="966"/>
      <c r="I94" s="966"/>
      <c r="J94" s="966"/>
      <c r="K94" s="966"/>
      <c r="L94" s="967"/>
      <c r="M94" s="968"/>
      <c r="N94" s="968"/>
      <c r="O94" s="969"/>
      <c r="P94" s="969"/>
      <c r="Q94" s="969"/>
      <c r="R94" s="969"/>
      <c r="S94" s="969"/>
      <c r="T94" s="969"/>
      <c r="U94" s="969"/>
      <c r="V94" s="969"/>
      <c r="W94" s="969"/>
      <c r="X94" s="969"/>
      <c r="Y94" s="969"/>
      <c r="Z94" s="969"/>
      <c r="AA94" s="969"/>
      <c r="AB94" s="969"/>
      <c r="AC94" s="969"/>
      <c r="AD94" s="968"/>
      <c r="AE94" s="968"/>
      <c r="AF94" s="968"/>
      <c r="AG94" s="968"/>
      <c r="AH94" s="968"/>
      <c r="AI94" s="968"/>
      <c r="AJ94" s="968"/>
      <c r="AK94" s="968"/>
      <c r="AL94" s="968"/>
      <c r="AM94" s="968"/>
      <c r="AN94" s="968"/>
      <c r="AO94" s="968"/>
      <c r="AP94" s="968"/>
      <c r="AQ94" s="968"/>
      <c r="AR94" s="968"/>
      <c r="AS94" s="968"/>
      <c r="AT94" s="968"/>
      <c r="AU94" s="968"/>
      <c r="AV94" s="968"/>
      <c r="AW94" s="968"/>
      <c r="AX94" s="968"/>
      <c r="AY94" s="968"/>
      <c r="AZ94" s="968"/>
      <c r="BA94" s="968"/>
      <c r="BB94" s="968"/>
      <c r="BC94" s="968"/>
      <c r="BD94" s="968"/>
      <c r="BE94" s="968"/>
      <c r="BF94" s="968"/>
      <c r="BG94" s="968"/>
      <c r="BH94" s="968"/>
      <c r="BI94" s="968"/>
      <c r="BJ94" s="968"/>
      <c r="BK94" s="913"/>
      <c r="BL94" s="913"/>
    </row>
    <row r="95" spans="1:64" s="371" customFormat="1" x14ac:dyDescent="0.3">
      <c r="A95" s="949">
        <v>328</v>
      </c>
      <c r="B95" s="1017"/>
      <c r="C95" s="948">
        <v>328</v>
      </c>
      <c r="D95" s="998" t="e">
        <v>#VALUE!</v>
      </c>
      <c r="E95" s="998"/>
      <c r="F95" s="965"/>
      <c r="G95" s="966"/>
      <c r="H95" s="966"/>
      <c r="I95" s="966"/>
      <c r="J95" s="966"/>
      <c r="K95" s="966"/>
      <c r="L95" s="967"/>
      <c r="M95" s="968"/>
      <c r="N95" s="968"/>
      <c r="O95" s="969"/>
      <c r="P95" s="969"/>
      <c r="Q95" s="969"/>
      <c r="R95" s="969"/>
      <c r="S95" s="969"/>
      <c r="T95" s="969"/>
      <c r="U95" s="969"/>
      <c r="V95" s="969"/>
      <c r="W95" s="969"/>
      <c r="X95" s="969"/>
      <c r="Y95" s="969"/>
      <c r="Z95" s="969"/>
      <c r="AA95" s="969"/>
      <c r="AB95" s="969"/>
      <c r="AC95" s="969"/>
      <c r="AD95" s="968"/>
      <c r="AE95" s="968"/>
      <c r="AF95" s="968"/>
      <c r="AG95" s="968"/>
      <c r="AH95" s="968"/>
      <c r="AI95" s="968"/>
      <c r="AJ95" s="968"/>
      <c r="AK95" s="968"/>
      <c r="AL95" s="968"/>
      <c r="AM95" s="968"/>
      <c r="AN95" s="968"/>
      <c r="AO95" s="968"/>
      <c r="AP95" s="968"/>
      <c r="AQ95" s="968"/>
      <c r="AR95" s="968"/>
      <c r="AS95" s="968"/>
      <c r="AT95" s="968"/>
      <c r="AU95" s="968"/>
      <c r="AV95" s="968"/>
      <c r="AW95" s="968"/>
      <c r="AX95" s="968"/>
      <c r="AY95" s="968"/>
      <c r="AZ95" s="968"/>
      <c r="BA95" s="968"/>
      <c r="BB95" s="968"/>
      <c r="BC95" s="968"/>
      <c r="BD95" s="968"/>
      <c r="BE95" s="968"/>
      <c r="BF95" s="968"/>
      <c r="BG95" s="968"/>
      <c r="BH95" s="968"/>
      <c r="BI95" s="968"/>
      <c r="BJ95" s="968"/>
      <c r="BK95" s="913"/>
      <c r="BL95" s="913"/>
    </row>
    <row r="96" spans="1:64" s="371" customFormat="1" x14ac:dyDescent="0.3">
      <c r="A96" s="949">
        <v>330</v>
      </c>
      <c r="B96" s="1017"/>
      <c r="C96" s="948">
        <v>330</v>
      </c>
      <c r="D96" s="998" t="e">
        <v>#VALUE!</v>
      </c>
      <c r="E96" s="998"/>
      <c r="F96" s="965"/>
      <c r="G96" s="966"/>
      <c r="H96" s="966"/>
      <c r="I96" s="966"/>
      <c r="J96" s="966"/>
      <c r="K96" s="966"/>
      <c r="L96" s="967"/>
      <c r="M96" s="968"/>
      <c r="N96" s="968"/>
      <c r="O96" s="969"/>
      <c r="P96" s="969"/>
      <c r="Q96" s="969"/>
      <c r="R96" s="969"/>
      <c r="S96" s="969"/>
      <c r="T96" s="969"/>
      <c r="U96" s="969"/>
      <c r="V96" s="969"/>
      <c r="W96" s="969"/>
      <c r="X96" s="969"/>
      <c r="Y96" s="969"/>
      <c r="Z96" s="969"/>
      <c r="AA96" s="969"/>
      <c r="AB96" s="969"/>
      <c r="AC96" s="969"/>
      <c r="AD96" s="968"/>
      <c r="AE96" s="968"/>
      <c r="AF96" s="968"/>
      <c r="AG96" s="968"/>
      <c r="AH96" s="968"/>
      <c r="AI96" s="968"/>
      <c r="AJ96" s="968"/>
      <c r="AK96" s="968"/>
      <c r="AL96" s="968"/>
      <c r="AM96" s="968"/>
      <c r="AN96" s="968"/>
      <c r="AO96" s="968"/>
      <c r="AP96" s="968"/>
      <c r="AQ96" s="968"/>
      <c r="AR96" s="968"/>
      <c r="AS96" s="968"/>
      <c r="AT96" s="968"/>
      <c r="AU96" s="968"/>
      <c r="AV96" s="968"/>
      <c r="AW96" s="968"/>
      <c r="AX96" s="968"/>
      <c r="AY96" s="968"/>
      <c r="AZ96" s="968"/>
      <c r="BA96" s="968"/>
      <c r="BB96" s="968"/>
      <c r="BC96" s="968"/>
      <c r="BD96" s="968"/>
      <c r="BE96" s="968"/>
      <c r="BF96" s="968"/>
      <c r="BG96" s="968"/>
      <c r="BH96" s="968"/>
      <c r="BI96" s="968"/>
      <c r="BJ96" s="968"/>
      <c r="BK96" s="913"/>
      <c r="BL96" s="913"/>
    </row>
    <row r="97" spans="1:64" s="371" customFormat="1" x14ac:dyDescent="0.3">
      <c r="A97" s="949">
        <v>331</v>
      </c>
      <c r="B97" s="1017"/>
      <c r="C97" s="948">
        <v>331</v>
      </c>
      <c r="D97" s="998" t="e">
        <v>#VALUE!</v>
      </c>
      <c r="E97" s="998"/>
      <c r="F97" s="965"/>
      <c r="G97" s="966"/>
      <c r="H97" s="966"/>
      <c r="I97" s="966"/>
      <c r="J97" s="966"/>
      <c r="K97" s="966"/>
      <c r="L97" s="967"/>
      <c r="M97" s="968"/>
      <c r="N97" s="968"/>
      <c r="O97" s="969"/>
      <c r="P97" s="969"/>
      <c r="Q97" s="969"/>
      <c r="R97" s="969"/>
      <c r="S97" s="969"/>
      <c r="T97" s="969"/>
      <c r="U97" s="969"/>
      <c r="V97" s="969"/>
      <c r="W97" s="969"/>
      <c r="X97" s="969"/>
      <c r="Y97" s="969"/>
      <c r="Z97" s="969"/>
      <c r="AA97" s="969"/>
      <c r="AB97" s="969"/>
      <c r="AC97" s="969"/>
      <c r="AD97" s="968"/>
      <c r="AE97" s="968"/>
      <c r="AF97" s="968"/>
      <c r="AG97" s="968"/>
      <c r="AH97" s="968"/>
      <c r="AI97" s="968"/>
      <c r="AJ97" s="968"/>
      <c r="AK97" s="968"/>
      <c r="AL97" s="968"/>
      <c r="AM97" s="968"/>
      <c r="AN97" s="968"/>
      <c r="AO97" s="968"/>
      <c r="AP97" s="968"/>
      <c r="AQ97" s="968"/>
      <c r="AR97" s="968"/>
      <c r="AS97" s="968"/>
      <c r="AT97" s="968"/>
      <c r="AU97" s="968"/>
      <c r="AV97" s="968"/>
      <c r="AW97" s="968"/>
      <c r="AX97" s="968"/>
      <c r="AY97" s="968"/>
      <c r="AZ97" s="968"/>
      <c r="BA97" s="968"/>
      <c r="BB97" s="968"/>
      <c r="BC97" s="968"/>
      <c r="BD97" s="968"/>
      <c r="BE97" s="968"/>
      <c r="BF97" s="968"/>
      <c r="BG97" s="968"/>
      <c r="BH97" s="968"/>
      <c r="BI97" s="968"/>
      <c r="BJ97" s="968"/>
      <c r="BK97" s="947"/>
      <c r="BL97" s="913"/>
    </row>
    <row r="98" spans="1:64" s="371" customFormat="1" x14ac:dyDescent="0.3">
      <c r="A98" s="949">
        <v>332</v>
      </c>
      <c r="B98" s="1017"/>
      <c r="C98" s="948">
        <v>332</v>
      </c>
      <c r="D98" s="998" t="e">
        <v>#VALUE!</v>
      </c>
      <c r="E98" s="998"/>
      <c r="F98" s="965"/>
      <c r="G98" s="966"/>
      <c r="H98" s="966"/>
      <c r="I98" s="966"/>
      <c r="J98" s="966"/>
      <c r="K98" s="966"/>
      <c r="L98" s="967"/>
      <c r="M98" s="968"/>
      <c r="N98" s="968"/>
      <c r="O98" s="969"/>
      <c r="P98" s="969"/>
      <c r="Q98" s="969"/>
      <c r="R98" s="969"/>
      <c r="S98" s="969"/>
      <c r="T98" s="969"/>
      <c r="U98" s="969"/>
      <c r="V98" s="969"/>
      <c r="W98" s="969"/>
      <c r="X98" s="969"/>
      <c r="Y98" s="969"/>
      <c r="Z98" s="969"/>
      <c r="AA98" s="969"/>
      <c r="AB98" s="969"/>
      <c r="AC98" s="969"/>
      <c r="AD98" s="968"/>
      <c r="AE98" s="968"/>
      <c r="AF98" s="968"/>
      <c r="AG98" s="968"/>
      <c r="AH98" s="968"/>
      <c r="AI98" s="968"/>
      <c r="AJ98" s="968"/>
      <c r="AK98" s="968"/>
      <c r="AL98" s="968"/>
      <c r="AM98" s="968"/>
      <c r="AN98" s="968"/>
      <c r="AO98" s="968"/>
      <c r="AP98" s="968"/>
      <c r="AQ98" s="968"/>
      <c r="AR98" s="968"/>
      <c r="AS98" s="968"/>
      <c r="AT98" s="968"/>
      <c r="AU98" s="968"/>
      <c r="AV98" s="968"/>
      <c r="AW98" s="968"/>
      <c r="AX98" s="968"/>
      <c r="AY98" s="968"/>
      <c r="AZ98" s="968"/>
      <c r="BA98" s="968"/>
      <c r="BB98" s="968"/>
      <c r="BC98" s="968"/>
      <c r="BD98" s="968"/>
      <c r="BE98" s="968"/>
      <c r="BF98" s="968"/>
      <c r="BG98" s="968"/>
      <c r="BH98" s="968"/>
      <c r="BI98" s="968"/>
      <c r="BJ98" s="968"/>
      <c r="BK98" s="947"/>
      <c r="BL98" s="913"/>
    </row>
    <row r="99" spans="1:64" s="371" customFormat="1" ht="28.8" x14ac:dyDescent="0.3">
      <c r="A99" s="949">
        <v>333</v>
      </c>
      <c r="B99" s="1017">
        <v>333</v>
      </c>
      <c r="C99" s="948">
        <v>333</v>
      </c>
      <c r="D99" s="998" t="s">
        <v>184</v>
      </c>
      <c r="E99" s="998"/>
      <c r="F99" s="965">
        <v>1012401</v>
      </c>
      <c r="G99" s="966">
        <v>6745184</v>
      </c>
      <c r="H99" s="966">
        <v>7808908</v>
      </c>
      <c r="I99" s="966">
        <v>2282980</v>
      </c>
      <c r="J99" s="966">
        <v>6775801</v>
      </c>
      <c r="K99" s="966">
        <v>2715261</v>
      </c>
      <c r="L99" s="967">
        <v>2726430</v>
      </c>
      <c r="M99" s="968">
        <v>5678837</v>
      </c>
      <c r="N99" s="968">
        <v>7931646</v>
      </c>
      <c r="O99" s="969">
        <v>2470049</v>
      </c>
      <c r="P99" s="969">
        <v>4263760</v>
      </c>
      <c r="Q99" s="969">
        <v>9181539</v>
      </c>
      <c r="R99" s="969">
        <v>11567789</v>
      </c>
      <c r="S99" s="969">
        <v>2319968</v>
      </c>
      <c r="T99" s="969">
        <v>0</v>
      </c>
      <c r="U99" s="969">
        <v>11405886</v>
      </c>
      <c r="V99" s="969">
        <v>37616955</v>
      </c>
      <c r="W99" s="969">
        <v>3424958</v>
      </c>
      <c r="X99" s="969">
        <v>2583317</v>
      </c>
      <c r="Y99" s="969">
        <v>57777768</v>
      </c>
      <c r="Z99" s="969">
        <v>12710188</v>
      </c>
      <c r="AA99" s="969">
        <v>1034233</v>
      </c>
      <c r="AB99" s="969">
        <v>11286102</v>
      </c>
      <c r="AC99" s="969">
        <v>880512</v>
      </c>
      <c r="AD99" s="968">
        <v>2741416</v>
      </c>
      <c r="AE99" s="968">
        <v>22369100</v>
      </c>
      <c r="AF99" s="968">
        <v>1554961</v>
      </c>
      <c r="AG99" s="968">
        <v>7893822</v>
      </c>
      <c r="AH99" s="968">
        <v>7406095</v>
      </c>
      <c r="AI99" s="968">
        <v>3452487</v>
      </c>
      <c r="AJ99" s="968">
        <v>25603558</v>
      </c>
      <c r="AK99" s="968">
        <v>26832031</v>
      </c>
      <c r="AL99" s="968">
        <v>19310671</v>
      </c>
      <c r="AM99" s="968">
        <v>13286452</v>
      </c>
      <c r="AN99" s="968">
        <v>5807626</v>
      </c>
      <c r="AO99" s="968">
        <v>4011166</v>
      </c>
      <c r="AP99" s="968">
        <v>4844664</v>
      </c>
      <c r="AQ99" s="968">
        <v>4003838</v>
      </c>
      <c r="AR99" s="968">
        <v>6545612</v>
      </c>
      <c r="AS99" s="968">
        <v>4438475</v>
      </c>
      <c r="AT99" s="968">
        <v>178060</v>
      </c>
      <c r="AU99" s="968">
        <v>2968226</v>
      </c>
      <c r="AV99" s="968">
        <v>1120065</v>
      </c>
      <c r="AW99" s="968">
        <v>24818539</v>
      </c>
      <c r="AX99" s="968">
        <v>4206406</v>
      </c>
      <c r="AY99" s="968">
        <v>133701076</v>
      </c>
      <c r="AZ99" s="968">
        <v>2075667</v>
      </c>
      <c r="BA99" s="968">
        <v>833859</v>
      </c>
      <c r="BB99" s="968">
        <v>5299925</v>
      </c>
      <c r="BC99" s="968">
        <v>5199791</v>
      </c>
      <c r="BD99" s="968">
        <v>1975045</v>
      </c>
      <c r="BE99" s="968">
        <v>5443907</v>
      </c>
      <c r="BF99" s="968">
        <v>12780214</v>
      </c>
      <c r="BG99" s="968">
        <v>11946347</v>
      </c>
      <c r="BH99" s="968">
        <v>27123131</v>
      </c>
      <c r="BI99" s="968">
        <v>3475895</v>
      </c>
      <c r="BJ99" s="968">
        <v>3522513</v>
      </c>
      <c r="BK99" s="947"/>
      <c r="BL99" s="913"/>
    </row>
    <row r="100" spans="1:64" s="371" customFormat="1" ht="43.2" x14ac:dyDescent="0.3">
      <c r="A100" s="949">
        <v>334</v>
      </c>
      <c r="B100" s="1017"/>
      <c r="C100" s="948">
        <v>334</v>
      </c>
      <c r="D100" s="998" t="s">
        <v>1060</v>
      </c>
      <c r="E100" s="998"/>
      <c r="F100" s="965"/>
      <c r="G100" s="966"/>
      <c r="H100" s="966"/>
      <c r="I100" s="966"/>
      <c r="J100" s="966"/>
      <c r="K100" s="966"/>
      <c r="L100" s="967"/>
      <c r="M100" s="968"/>
      <c r="N100" s="968"/>
      <c r="O100" s="969"/>
      <c r="P100" s="969"/>
      <c r="Q100" s="969"/>
      <c r="R100" s="969"/>
      <c r="S100" s="969"/>
      <c r="T100" s="969"/>
      <c r="U100" s="969"/>
      <c r="V100" s="969"/>
      <c r="W100" s="969"/>
      <c r="X100" s="969"/>
      <c r="Y100" s="969"/>
      <c r="Z100" s="969"/>
      <c r="AA100" s="969"/>
      <c r="AB100" s="969"/>
      <c r="AC100" s="969"/>
      <c r="AD100" s="968"/>
      <c r="AE100" s="968"/>
      <c r="AF100" s="968"/>
      <c r="AG100" s="968"/>
      <c r="AH100" s="968"/>
      <c r="AI100" s="968"/>
      <c r="AJ100" s="968"/>
      <c r="AK100" s="968"/>
      <c r="AL100" s="968"/>
      <c r="AM100" s="968"/>
      <c r="AN100" s="968"/>
      <c r="AO100" s="968"/>
      <c r="AP100" s="968"/>
      <c r="AQ100" s="968"/>
      <c r="AR100" s="968"/>
      <c r="AS100" s="968"/>
      <c r="AT100" s="968"/>
      <c r="AU100" s="968"/>
      <c r="AV100" s="968"/>
      <c r="AW100" s="968"/>
      <c r="AX100" s="968"/>
      <c r="AY100" s="968"/>
      <c r="AZ100" s="968"/>
      <c r="BA100" s="968"/>
      <c r="BB100" s="968"/>
      <c r="BC100" s="968"/>
      <c r="BD100" s="968"/>
      <c r="BE100" s="968"/>
      <c r="BF100" s="968"/>
      <c r="BG100" s="968"/>
      <c r="BH100" s="968"/>
      <c r="BI100" s="968"/>
      <c r="BJ100" s="968"/>
      <c r="BK100" s="947"/>
      <c r="BL100" s="913"/>
    </row>
    <row r="101" spans="1:64" s="371" customFormat="1" ht="28.8" x14ac:dyDescent="0.3">
      <c r="A101" s="949">
        <v>335</v>
      </c>
      <c r="B101" s="1017">
        <v>335</v>
      </c>
      <c r="C101" s="948">
        <v>335</v>
      </c>
      <c r="D101" s="998" t="s">
        <v>117</v>
      </c>
      <c r="E101" s="998"/>
      <c r="F101" s="965">
        <v>0</v>
      </c>
      <c r="G101" s="966">
        <v>0</v>
      </c>
      <c r="H101" s="966">
        <v>0</v>
      </c>
      <c r="I101" s="966">
        <v>0</v>
      </c>
      <c r="J101" s="966">
        <v>0</v>
      </c>
      <c r="K101" s="966">
        <v>0</v>
      </c>
      <c r="L101" s="967">
        <v>0</v>
      </c>
      <c r="M101" s="968">
        <v>0</v>
      </c>
      <c r="N101" s="968">
        <v>0</v>
      </c>
      <c r="O101" s="969">
        <v>0</v>
      </c>
      <c r="P101" s="969">
        <v>0</v>
      </c>
      <c r="Q101" s="969">
        <v>0</v>
      </c>
      <c r="R101" s="969">
        <v>0</v>
      </c>
      <c r="S101" s="969">
        <v>5320</v>
      </c>
      <c r="T101" s="969">
        <v>0</v>
      </c>
      <c r="U101" s="969">
        <v>304632</v>
      </c>
      <c r="V101" s="969">
        <v>66393</v>
      </c>
      <c r="W101" s="969">
        <v>0</v>
      </c>
      <c r="X101" s="969">
        <v>0</v>
      </c>
      <c r="Y101" s="969">
        <v>0</v>
      </c>
      <c r="Z101" s="969">
        <v>65284</v>
      </c>
      <c r="AA101" s="969">
        <v>0</v>
      </c>
      <c r="AB101" s="969">
        <v>0</v>
      </c>
      <c r="AC101" s="969">
        <v>0</v>
      </c>
      <c r="AD101" s="968">
        <v>0</v>
      </c>
      <c r="AE101" s="968">
        <v>0</v>
      </c>
      <c r="AF101" s="968">
        <v>376482</v>
      </c>
      <c r="AG101" s="968">
        <v>0</v>
      </c>
      <c r="AH101" s="968">
        <v>0</v>
      </c>
      <c r="AI101" s="968">
        <v>929</v>
      </c>
      <c r="AJ101" s="968">
        <v>0</v>
      </c>
      <c r="AK101" s="968">
        <v>0</v>
      </c>
      <c r="AL101" s="968">
        <v>0</v>
      </c>
      <c r="AM101" s="968">
        <v>2206649</v>
      </c>
      <c r="AN101" s="968">
        <v>0</v>
      </c>
      <c r="AO101" s="968">
        <v>0</v>
      </c>
      <c r="AP101" s="968">
        <v>0</v>
      </c>
      <c r="AQ101" s="968">
        <v>276841</v>
      </c>
      <c r="AR101" s="968">
        <v>0</v>
      </c>
      <c r="AS101" s="968">
        <v>0</v>
      </c>
      <c r="AT101" s="968">
        <v>0</v>
      </c>
      <c r="AU101" s="968">
        <v>0</v>
      </c>
      <c r="AV101" s="968">
        <v>0</v>
      </c>
      <c r="AW101" s="968">
        <v>226339</v>
      </c>
      <c r="AX101" s="968">
        <v>0</v>
      </c>
      <c r="AY101" s="968">
        <v>0</v>
      </c>
      <c r="AZ101" s="968">
        <v>0</v>
      </c>
      <c r="BA101" s="968">
        <v>0</v>
      </c>
      <c r="BB101" s="968">
        <v>0</v>
      </c>
      <c r="BC101" s="968">
        <v>0</v>
      </c>
      <c r="BD101" s="968">
        <v>0</v>
      </c>
      <c r="BE101" s="968">
        <v>0</v>
      </c>
      <c r="BF101" s="968">
        <v>17932</v>
      </c>
      <c r="BG101" s="968">
        <v>3855</v>
      </c>
      <c r="BH101" s="968">
        <v>5596674</v>
      </c>
      <c r="BI101" s="968">
        <v>155660</v>
      </c>
      <c r="BJ101" s="968">
        <v>0</v>
      </c>
      <c r="BK101" s="947"/>
      <c r="BL101" s="913"/>
    </row>
    <row r="102" spans="1:64" s="371" customFormat="1" x14ac:dyDescent="0.3">
      <c r="A102" s="949">
        <v>336</v>
      </c>
      <c r="B102" s="1017"/>
      <c r="C102" s="948">
        <v>336</v>
      </c>
      <c r="D102" s="998" t="s">
        <v>382</v>
      </c>
      <c r="E102" s="998"/>
      <c r="F102" s="965">
        <v>266749</v>
      </c>
      <c r="G102" s="966">
        <v>3991840</v>
      </c>
      <c r="H102" s="966">
        <v>3329025</v>
      </c>
      <c r="I102" s="966">
        <v>1230527</v>
      </c>
      <c r="J102" s="966">
        <v>6342546</v>
      </c>
      <c r="K102" s="966">
        <v>239057</v>
      </c>
      <c r="L102" s="967">
        <v>1245958</v>
      </c>
      <c r="M102" s="968">
        <v>1696229</v>
      </c>
      <c r="N102" s="968">
        <v>2121612</v>
      </c>
      <c r="O102" s="969">
        <v>1469678</v>
      </c>
      <c r="P102" s="969">
        <v>604488</v>
      </c>
      <c r="Q102" s="969">
        <v>3558950</v>
      </c>
      <c r="R102" s="969">
        <v>4452096</v>
      </c>
      <c r="S102" s="969">
        <v>577523</v>
      </c>
      <c r="T102" s="969">
        <v>0</v>
      </c>
      <c r="U102" s="969">
        <v>0</v>
      </c>
      <c r="V102" s="969">
        <v>20036945</v>
      </c>
      <c r="W102" s="969">
        <v>1206148</v>
      </c>
      <c r="X102" s="969">
        <v>0</v>
      </c>
      <c r="Y102" s="969">
        <v>4817295</v>
      </c>
      <c r="Z102" s="969">
        <v>6102460</v>
      </c>
      <c r="AA102" s="969">
        <v>671167</v>
      </c>
      <c r="AB102" s="969">
        <v>2953438</v>
      </c>
      <c r="AC102" s="969">
        <v>693207</v>
      </c>
      <c r="AD102" s="968">
        <v>0</v>
      </c>
      <c r="AE102" s="968">
        <v>8142302</v>
      </c>
      <c r="AF102" s="968">
        <v>1034220</v>
      </c>
      <c r="AG102" s="968">
        <v>8324350</v>
      </c>
      <c r="AH102" s="968">
        <v>3330326</v>
      </c>
      <c r="AI102" s="968">
        <v>852952</v>
      </c>
      <c r="AJ102" s="968">
        <v>11542308</v>
      </c>
      <c r="AK102" s="968">
        <v>5959184</v>
      </c>
      <c r="AL102" s="968">
        <v>6813129</v>
      </c>
      <c r="AM102" s="968">
        <v>0</v>
      </c>
      <c r="AN102" s="968">
        <v>3746581</v>
      </c>
      <c r="AO102" s="968">
        <v>5106303</v>
      </c>
      <c r="AP102" s="968">
        <v>2180951</v>
      </c>
      <c r="AQ102" s="968">
        <v>3196151</v>
      </c>
      <c r="AR102" s="968">
        <v>4623211</v>
      </c>
      <c r="AS102" s="968">
        <v>644938</v>
      </c>
      <c r="AT102" s="968">
        <v>0</v>
      </c>
      <c r="AU102" s="968">
        <v>1700276</v>
      </c>
      <c r="AV102" s="968">
        <v>0</v>
      </c>
      <c r="AW102" s="968">
        <v>25087960</v>
      </c>
      <c r="AX102" s="968">
        <v>0</v>
      </c>
      <c r="AY102" s="968">
        <v>82675693</v>
      </c>
      <c r="AZ102" s="968">
        <v>369050</v>
      </c>
      <c r="BA102" s="968">
        <v>973959</v>
      </c>
      <c r="BB102" s="968">
        <v>2167694</v>
      </c>
      <c r="BC102" s="968">
        <v>12934752</v>
      </c>
      <c r="BD102" s="968">
        <v>315301</v>
      </c>
      <c r="BE102" s="968">
        <v>971036</v>
      </c>
      <c r="BF102" s="968">
        <v>3384738</v>
      </c>
      <c r="BG102" s="968">
        <v>4159323</v>
      </c>
      <c r="BH102" s="968">
        <v>0</v>
      </c>
      <c r="BI102" s="968">
        <v>2019755</v>
      </c>
      <c r="BJ102" s="968">
        <v>403310</v>
      </c>
      <c r="BK102" s="947"/>
      <c r="BL102" s="913"/>
    </row>
    <row r="103" spans="1:64" s="371" customFormat="1" ht="43.2" x14ac:dyDescent="0.3">
      <c r="A103" s="949">
        <v>337</v>
      </c>
      <c r="B103" s="1017"/>
      <c r="C103" s="948">
        <v>337</v>
      </c>
      <c r="D103" s="998" t="s">
        <v>1061</v>
      </c>
      <c r="E103" s="998"/>
      <c r="F103" s="965"/>
      <c r="G103" s="966"/>
      <c r="H103" s="966"/>
      <c r="I103" s="966"/>
      <c r="J103" s="966"/>
      <c r="K103" s="966"/>
      <c r="L103" s="967"/>
      <c r="M103" s="968"/>
      <c r="N103" s="968"/>
      <c r="O103" s="969"/>
      <c r="P103" s="969"/>
      <c r="Q103" s="969"/>
      <c r="R103" s="969"/>
      <c r="S103" s="969"/>
      <c r="T103" s="969"/>
      <c r="U103" s="969"/>
      <c r="V103" s="969"/>
      <c r="W103" s="969"/>
      <c r="X103" s="969"/>
      <c r="Y103" s="969"/>
      <c r="Z103" s="969"/>
      <c r="AA103" s="969"/>
      <c r="AB103" s="969"/>
      <c r="AC103" s="969"/>
      <c r="AD103" s="968"/>
      <c r="AE103" s="968"/>
      <c r="AF103" s="968"/>
      <c r="AG103" s="968"/>
      <c r="AH103" s="968"/>
      <c r="AI103" s="968"/>
      <c r="AJ103" s="968"/>
      <c r="AK103" s="968"/>
      <c r="AL103" s="968"/>
      <c r="AM103" s="968"/>
      <c r="AN103" s="968"/>
      <c r="AO103" s="968"/>
      <c r="AP103" s="968"/>
      <c r="AQ103" s="968"/>
      <c r="AR103" s="968"/>
      <c r="AS103" s="968"/>
      <c r="AT103" s="968"/>
      <c r="AU103" s="968"/>
      <c r="AV103" s="968"/>
      <c r="AW103" s="968"/>
      <c r="AX103" s="968"/>
      <c r="AY103" s="968"/>
      <c r="AZ103" s="968"/>
      <c r="BA103" s="968"/>
      <c r="BB103" s="968"/>
      <c r="BC103" s="968"/>
      <c r="BD103" s="968"/>
      <c r="BE103" s="968"/>
      <c r="BF103" s="968"/>
      <c r="BG103" s="968"/>
      <c r="BH103" s="968"/>
      <c r="BI103" s="968"/>
      <c r="BJ103" s="968"/>
      <c r="BK103" s="947"/>
      <c r="BL103" s="913"/>
    </row>
    <row r="104" spans="1:64" s="371" customFormat="1" ht="28.8" x14ac:dyDescent="0.3">
      <c r="A104" s="949">
        <v>338</v>
      </c>
      <c r="B104" s="1017">
        <v>338</v>
      </c>
      <c r="C104" s="948">
        <v>338</v>
      </c>
      <c r="D104" s="998" t="s">
        <v>116</v>
      </c>
      <c r="E104" s="998"/>
      <c r="F104" s="965">
        <v>111181390</v>
      </c>
      <c r="G104" s="966">
        <v>203569288</v>
      </c>
      <c r="H104" s="966">
        <v>150005494</v>
      </c>
      <c r="I104" s="966">
        <v>61792763</v>
      </c>
      <c r="J104" s="966">
        <v>210733957</v>
      </c>
      <c r="K104" s="966">
        <v>86344781</v>
      </c>
      <c r="L104" s="967">
        <v>48496777</v>
      </c>
      <c r="M104" s="968">
        <v>65280193</v>
      </c>
      <c r="N104" s="968">
        <v>122030159</v>
      </c>
      <c r="O104" s="969">
        <v>39212287</v>
      </c>
      <c r="P104" s="969">
        <v>76076620</v>
      </c>
      <c r="Q104" s="969">
        <v>253406350</v>
      </c>
      <c r="R104" s="969">
        <v>118258960</v>
      </c>
      <c r="S104" s="969">
        <v>31365401</v>
      </c>
      <c r="T104" s="969">
        <v>0</v>
      </c>
      <c r="U104" s="969">
        <v>280407291</v>
      </c>
      <c r="V104" s="969">
        <v>559644289</v>
      </c>
      <c r="W104" s="969">
        <v>63970549</v>
      </c>
      <c r="X104" s="969">
        <v>37730122</v>
      </c>
      <c r="Y104" s="969">
        <v>467550247</v>
      </c>
      <c r="Z104" s="969">
        <v>178118820</v>
      </c>
      <c r="AA104" s="969">
        <v>32375749</v>
      </c>
      <c r="AB104" s="969">
        <v>168812016</v>
      </c>
      <c r="AC104" s="969">
        <v>35576683</v>
      </c>
      <c r="AD104" s="968">
        <v>95227036</v>
      </c>
      <c r="AE104" s="968">
        <v>458884374</v>
      </c>
      <c r="AF104" s="968">
        <v>51187841</v>
      </c>
      <c r="AG104" s="968">
        <v>314904058</v>
      </c>
      <c r="AH104" s="968">
        <v>131437291</v>
      </c>
      <c r="AI104" s="968">
        <v>55278647</v>
      </c>
      <c r="AJ104" s="968">
        <v>400261630</v>
      </c>
      <c r="AK104" s="968">
        <v>214194651</v>
      </c>
      <c r="AL104" s="968">
        <v>360706291</v>
      </c>
      <c r="AM104" s="968">
        <v>162385040</v>
      </c>
      <c r="AN104" s="968">
        <v>153057287</v>
      </c>
      <c r="AO104" s="968">
        <v>123351156</v>
      </c>
      <c r="AP104" s="968">
        <v>149433303</v>
      </c>
      <c r="AQ104" s="968">
        <v>120207264</v>
      </c>
      <c r="AR104" s="968">
        <v>149793795</v>
      </c>
      <c r="AS104" s="968">
        <v>46568548</v>
      </c>
      <c r="AT104" s="968">
        <v>50249762</v>
      </c>
      <c r="AU104" s="968">
        <v>75883860</v>
      </c>
      <c r="AV104" s="968">
        <v>16293546</v>
      </c>
      <c r="AW104" s="968">
        <v>811046685</v>
      </c>
      <c r="AX104" s="968">
        <v>114365928</v>
      </c>
      <c r="AY104" s="968">
        <v>3390075581</v>
      </c>
      <c r="AZ104" s="968">
        <v>42215707</v>
      </c>
      <c r="BA104" s="968">
        <v>29852640</v>
      </c>
      <c r="BB104" s="968">
        <v>102290077</v>
      </c>
      <c r="BC104" s="968">
        <v>334497924</v>
      </c>
      <c r="BD104" s="968">
        <v>21288838</v>
      </c>
      <c r="BE104" s="968">
        <v>42270070</v>
      </c>
      <c r="BF104" s="968">
        <v>186464115</v>
      </c>
      <c r="BG104" s="968">
        <v>206006411</v>
      </c>
      <c r="BH104" s="968">
        <v>1109067716</v>
      </c>
      <c r="BI104" s="968">
        <v>101724141</v>
      </c>
      <c r="BJ104" s="968">
        <v>48536388</v>
      </c>
      <c r="BK104" s="947"/>
      <c r="BL104" s="913"/>
    </row>
    <row r="105" spans="1:64" s="371" customFormat="1" x14ac:dyDescent="0.3">
      <c r="A105" s="949">
        <v>339</v>
      </c>
      <c r="B105" s="1017">
        <v>339</v>
      </c>
      <c r="C105" s="948">
        <v>339</v>
      </c>
      <c r="D105" s="998" t="s">
        <v>189</v>
      </c>
      <c r="E105" s="998"/>
      <c r="F105" s="965">
        <v>62401</v>
      </c>
      <c r="G105" s="966">
        <v>128930</v>
      </c>
      <c r="H105" s="966">
        <v>1267457</v>
      </c>
      <c r="I105" s="966">
        <v>395493</v>
      </c>
      <c r="J105" s="966">
        <v>217168</v>
      </c>
      <c r="K105" s="966">
        <v>273510</v>
      </c>
      <c r="L105" s="967">
        <v>55463</v>
      </c>
      <c r="M105" s="968">
        <v>143303</v>
      </c>
      <c r="N105" s="968">
        <v>388444</v>
      </c>
      <c r="O105" s="969">
        <v>1181592</v>
      </c>
      <c r="P105" s="969">
        <v>896308</v>
      </c>
      <c r="Q105" s="969">
        <v>3995595</v>
      </c>
      <c r="R105" s="969">
        <v>56067</v>
      </c>
      <c r="S105" s="969">
        <v>111874</v>
      </c>
      <c r="T105" s="969">
        <v>0</v>
      </c>
      <c r="U105" s="969">
        <v>2555073</v>
      </c>
      <c r="V105" s="969">
        <v>190170</v>
      </c>
      <c r="W105" s="969">
        <v>15898</v>
      </c>
      <c r="X105" s="969">
        <v>221648</v>
      </c>
      <c r="Y105" s="969">
        <v>5069165</v>
      </c>
      <c r="Z105" s="969">
        <v>1534140</v>
      </c>
      <c r="AA105" s="969">
        <v>487655</v>
      </c>
      <c r="AB105" s="969">
        <v>1560187</v>
      </c>
      <c r="AC105" s="969">
        <v>301406</v>
      </c>
      <c r="AD105" s="968">
        <v>133883</v>
      </c>
      <c r="AE105" s="968">
        <v>0</v>
      </c>
      <c r="AF105" s="968">
        <v>65000</v>
      </c>
      <c r="AG105" s="968">
        <v>2173974</v>
      </c>
      <c r="AH105" s="968">
        <v>1750170</v>
      </c>
      <c r="AI105" s="968">
        <v>415073</v>
      </c>
      <c r="AJ105" s="968">
        <v>9385584</v>
      </c>
      <c r="AK105" s="968">
        <v>1160869</v>
      </c>
      <c r="AL105" s="968">
        <v>6299602</v>
      </c>
      <c r="AM105" s="968">
        <v>58840</v>
      </c>
      <c r="AN105" s="968">
        <v>3167306</v>
      </c>
      <c r="AO105" s="968">
        <v>1011830</v>
      </c>
      <c r="AP105" s="968">
        <v>171890</v>
      </c>
      <c r="AQ105" s="968">
        <v>3659</v>
      </c>
      <c r="AR105" s="968">
        <v>47347</v>
      </c>
      <c r="AS105" s="968">
        <v>181165</v>
      </c>
      <c r="AT105" s="968">
        <v>763105</v>
      </c>
      <c r="AU105" s="968">
        <v>1526356</v>
      </c>
      <c r="AV105" s="968">
        <v>141487</v>
      </c>
      <c r="AW105" s="968">
        <v>10653228</v>
      </c>
      <c r="AX105" s="968">
        <v>403671</v>
      </c>
      <c r="AY105" s="968">
        <v>1100760</v>
      </c>
      <c r="AZ105" s="968">
        <v>3913</v>
      </c>
      <c r="BA105" s="968">
        <v>204056</v>
      </c>
      <c r="BB105" s="968">
        <v>40916</v>
      </c>
      <c r="BC105" s="968">
        <v>2552557</v>
      </c>
      <c r="BD105" s="968">
        <v>195640</v>
      </c>
      <c r="BE105" s="968">
        <v>631688</v>
      </c>
      <c r="BF105" s="968">
        <v>3240132</v>
      </c>
      <c r="BG105" s="968">
        <v>1972941</v>
      </c>
      <c r="BH105" s="968">
        <v>575777</v>
      </c>
      <c r="BI105" s="968">
        <v>269725</v>
      </c>
      <c r="BJ105" s="968">
        <v>766742</v>
      </c>
      <c r="BK105" s="947"/>
      <c r="BL105" s="913"/>
    </row>
    <row r="106" spans="1:64" s="371" customFormat="1" ht="28.8" x14ac:dyDescent="0.3">
      <c r="A106" s="949">
        <v>340</v>
      </c>
      <c r="B106" s="1017"/>
      <c r="C106" s="948">
        <v>340</v>
      </c>
      <c r="D106" s="998" t="s">
        <v>1062</v>
      </c>
      <c r="E106" s="998"/>
      <c r="F106" s="965"/>
      <c r="G106" s="966"/>
      <c r="H106" s="966"/>
      <c r="I106" s="966"/>
      <c r="J106" s="966"/>
      <c r="K106" s="966"/>
      <c r="L106" s="967"/>
      <c r="M106" s="968"/>
      <c r="N106" s="968"/>
      <c r="O106" s="969"/>
      <c r="P106" s="969"/>
      <c r="Q106" s="969"/>
      <c r="R106" s="969"/>
      <c r="S106" s="969"/>
      <c r="T106" s="969"/>
      <c r="U106" s="969"/>
      <c r="V106" s="969"/>
      <c r="W106" s="969"/>
      <c r="X106" s="969"/>
      <c r="Y106" s="969"/>
      <c r="Z106" s="969"/>
      <c r="AA106" s="969"/>
      <c r="AB106" s="969"/>
      <c r="AC106" s="969"/>
      <c r="AD106" s="968"/>
      <c r="AE106" s="968"/>
      <c r="AF106" s="968"/>
      <c r="AG106" s="968"/>
      <c r="AH106" s="968"/>
      <c r="AI106" s="968"/>
      <c r="AJ106" s="968"/>
      <c r="AK106" s="968"/>
      <c r="AL106" s="968"/>
      <c r="AM106" s="968"/>
      <c r="AN106" s="968"/>
      <c r="AO106" s="968"/>
      <c r="AP106" s="968"/>
      <c r="AQ106" s="968"/>
      <c r="AR106" s="968"/>
      <c r="AS106" s="968"/>
      <c r="AT106" s="968"/>
      <c r="AU106" s="968"/>
      <c r="AV106" s="968"/>
      <c r="AW106" s="968"/>
      <c r="AX106" s="968"/>
      <c r="AY106" s="968"/>
      <c r="AZ106" s="968"/>
      <c r="BA106" s="968"/>
      <c r="BB106" s="968"/>
      <c r="BC106" s="968"/>
      <c r="BD106" s="968"/>
      <c r="BE106" s="968"/>
      <c r="BF106" s="968"/>
      <c r="BG106" s="968"/>
      <c r="BH106" s="968"/>
      <c r="BI106" s="968"/>
      <c r="BJ106" s="968"/>
      <c r="BK106" s="947"/>
      <c r="BL106" s="913"/>
    </row>
    <row r="107" spans="1:64" s="371" customFormat="1" x14ac:dyDescent="0.3">
      <c r="A107" s="949">
        <v>341</v>
      </c>
      <c r="B107" s="1017">
        <v>341</v>
      </c>
      <c r="C107" s="948">
        <v>341</v>
      </c>
      <c r="D107" s="998" t="s">
        <v>192</v>
      </c>
      <c r="E107" s="998"/>
      <c r="F107" s="965">
        <v>16408557</v>
      </c>
      <c r="G107" s="966">
        <v>32793274</v>
      </c>
      <c r="H107" s="966">
        <v>14824591</v>
      </c>
      <c r="I107" s="966">
        <v>8771891</v>
      </c>
      <c r="J107" s="966">
        <v>31325999</v>
      </c>
      <c r="K107" s="966">
        <v>14265494</v>
      </c>
      <c r="L107" s="967">
        <v>5787763</v>
      </c>
      <c r="M107" s="968">
        <v>8112243</v>
      </c>
      <c r="N107" s="968">
        <v>25912980</v>
      </c>
      <c r="O107" s="969">
        <v>4785533</v>
      </c>
      <c r="P107" s="969">
        <v>7090091</v>
      </c>
      <c r="Q107" s="969">
        <v>106696863</v>
      </c>
      <c r="R107" s="969">
        <v>24621203</v>
      </c>
      <c r="S107" s="969">
        <v>4734339</v>
      </c>
      <c r="T107" s="969">
        <v>1105877</v>
      </c>
      <c r="U107" s="969">
        <v>31615854</v>
      </c>
      <c r="V107" s="969">
        <v>124346357</v>
      </c>
      <c r="W107" s="969">
        <v>11611234</v>
      </c>
      <c r="X107" s="969">
        <v>5417739</v>
      </c>
      <c r="Y107" s="969">
        <v>98702140</v>
      </c>
      <c r="Z107" s="969">
        <v>52232376</v>
      </c>
      <c r="AA107" s="969">
        <v>4649457</v>
      </c>
      <c r="AB107" s="969">
        <v>22981583</v>
      </c>
      <c r="AC107" s="969">
        <v>5076001</v>
      </c>
      <c r="AD107" s="968">
        <v>12132960</v>
      </c>
      <c r="AE107" s="968">
        <v>48729271</v>
      </c>
      <c r="AF107" s="968">
        <v>7820645</v>
      </c>
      <c r="AG107" s="968">
        <v>39537333</v>
      </c>
      <c r="AH107" s="968">
        <v>14985818</v>
      </c>
      <c r="AI107" s="968">
        <v>6440895</v>
      </c>
      <c r="AJ107" s="968">
        <v>22472359</v>
      </c>
      <c r="AK107" s="968">
        <v>19211411</v>
      </c>
      <c r="AL107" s="968">
        <v>50332966</v>
      </c>
      <c r="AM107" s="968">
        <v>20701782</v>
      </c>
      <c r="AN107" s="968">
        <v>15609851</v>
      </c>
      <c r="AO107" s="968">
        <v>28382815</v>
      </c>
      <c r="AP107" s="968">
        <v>20228993</v>
      </c>
      <c r="AQ107" s="968">
        <v>15262584</v>
      </c>
      <c r="AR107" s="968">
        <v>30398383</v>
      </c>
      <c r="AS107" s="968">
        <v>9586407</v>
      </c>
      <c r="AT107" s="968">
        <v>6465156</v>
      </c>
      <c r="AU107" s="968">
        <v>15732099</v>
      </c>
      <c r="AV107" s="968">
        <v>2887948</v>
      </c>
      <c r="AW107" s="968">
        <v>147113368</v>
      </c>
      <c r="AX107" s="968">
        <v>14661042</v>
      </c>
      <c r="AY107" s="968">
        <v>796038187</v>
      </c>
      <c r="AZ107" s="968">
        <v>5617162</v>
      </c>
      <c r="BA107" s="968">
        <v>3743273</v>
      </c>
      <c r="BB107" s="968">
        <v>18693400</v>
      </c>
      <c r="BC107" s="968">
        <v>37125268</v>
      </c>
      <c r="BD107" s="968">
        <v>3264797</v>
      </c>
      <c r="BE107" s="968">
        <v>3116157</v>
      </c>
      <c r="BF107" s="968">
        <v>21136971</v>
      </c>
      <c r="BG107" s="968">
        <v>28600696</v>
      </c>
      <c r="BH107" s="968">
        <v>176133541</v>
      </c>
      <c r="BI107" s="968">
        <v>10469068</v>
      </c>
      <c r="BJ107" s="968">
        <v>5498067</v>
      </c>
      <c r="BK107" s="947"/>
      <c r="BL107" s="913"/>
    </row>
    <row r="108" spans="1:64" s="371" customFormat="1" x14ac:dyDescent="0.3">
      <c r="A108" s="949">
        <v>342</v>
      </c>
      <c r="B108" s="1017"/>
      <c r="C108" s="948">
        <v>342</v>
      </c>
      <c r="D108" s="949" t="s">
        <v>1130</v>
      </c>
      <c r="E108" s="949"/>
      <c r="F108" s="949"/>
      <c r="G108" s="965"/>
      <c r="H108" s="966"/>
      <c r="I108" s="966"/>
      <c r="J108" s="966"/>
      <c r="K108" s="966"/>
      <c r="L108" s="966"/>
      <c r="M108" s="967"/>
      <c r="N108" s="968"/>
      <c r="O108" s="968"/>
      <c r="P108" s="969"/>
      <c r="Q108" s="969"/>
      <c r="R108" s="969"/>
      <c r="S108" s="969"/>
      <c r="T108" s="969"/>
      <c r="U108" s="969"/>
      <c r="V108" s="969"/>
      <c r="W108" s="969"/>
      <c r="X108" s="969"/>
      <c r="Y108" s="969"/>
      <c r="Z108" s="969"/>
      <c r="AA108" s="969"/>
      <c r="AB108" s="969"/>
      <c r="AC108" s="969"/>
      <c r="AD108" s="969"/>
      <c r="AE108" s="968"/>
      <c r="AF108" s="968"/>
      <c r="AG108" s="968"/>
      <c r="AH108" s="968"/>
      <c r="AI108" s="968"/>
      <c r="AJ108" s="968"/>
      <c r="AK108" s="968"/>
      <c r="AL108" s="968"/>
      <c r="AM108" s="968"/>
      <c r="AN108" s="968"/>
      <c r="AO108" s="968"/>
      <c r="AP108" s="968"/>
      <c r="AQ108" s="968"/>
      <c r="AR108" s="968"/>
      <c r="AS108" s="968"/>
      <c r="AT108" s="968"/>
      <c r="AU108" s="968"/>
      <c r="AV108" s="968"/>
      <c r="AW108" s="968"/>
      <c r="AX108" s="968"/>
      <c r="AY108" s="968"/>
      <c r="AZ108" s="968"/>
      <c r="BA108" s="968"/>
      <c r="BB108" s="968"/>
      <c r="BC108" s="968"/>
      <c r="BD108" s="968"/>
      <c r="BE108" s="968"/>
      <c r="BF108" s="968"/>
      <c r="BG108" s="968"/>
      <c r="BH108" s="968"/>
      <c r="BI108" s="968"/>
      <c r="BJ108" s="968"/>
      <c r="BK108" s="968"/>
      <c r="BL108" s="913"/>
    </row>
    <row r="109" spans="1:64" s="371" customFormat="1" x14ac:dyDescent="0.3">
      <c r="A109" s="949">
        <v>343</v>
      </c>
      <c r="B109" s="1017"/>
      <c r="C109" s="948">
        <v>343</v>
      </c>
      <c r="D109" s="949" t="s">
        <v>1131</v>
      </c>
      <c r="E109" s="949"/>
      <c r="F109" s="949"/>
      <c r="G109" s="965"/>
      <c r="H109" s="966"/>
      <c r="I109" s="966"/>
      <c r="J109" s="966"/>
      <c r="K109" s="966"/>
      <c r="L109" s="966"/>
      <c r="M109" s="967"/>
      <c r="N109" s="968"/>
      <c r="O109" s="968"/>
      <c r="P109" s="969"/>
      <c r="Q109" s="969"/>
      <c r="R109" s="969"/>
      <c r="S109" s="969"/>
      <c r="T109" s="969"/>
      <c r="U109" s="969"/>
      <c r="V109" s="969"/>
      <c r="W109" s="969"/>
      <c r="X109" s="969"/>
      <c r="Y109" s="969"/>
      <c r="Z109" s="969"/>
      <c r="AA109" s="969"/>
      <c r="AB109" s="969"/>
      <c r="AC109" s="969"/>
      <c r="AD109" s="969"/>
      <c r="AE109" s="968"/>
      <c r="AF109" s="968"/>
      <c r="AG109" s="968"/>
      <c r="AH109" s="968"/>
      <c r="AI109" s="968"/>
      <c r="AJ109" s="968"/>
      <c r="AK109" s="968"/>
      <c r="AL109" s="968"/>
      <c r="AM109" s="968"/>
      <c r="AN109" s="968"/>
      <c r="AO109" s="968"/>
      <c r="AP109" s="968"/>
      <c r="AQ109" s="968"/>
      <c r="AR109" s="968"/>
      <c r="AS109" s="968"/>
      <c r="AT109" s="968"/>
      <c r="AU109" s="968"/>
      <c r="AV109" s="968"/>
      <c r="AW109" s="968"/>
      <c r="AX109" s="968"/>
      <c r="AY109" s="968"/>
      <c r="AZ109" s="968"/>
      <c r="BA109" s="968"/>
      <c r="BB109" s="968"/>
      <c r="BC109" s="968"/>
      <c r="BD109" s="968"/>
      <c r="BE109" s="968"/>
      <c r="BF109" s="968"/>
      <c r="BG109" s="968"/>
      <c r="BH109" s="968"/>
      <c r="BI109" s="968"/>
      <c r="BJ109" s="968"/>
      <c r="BK109" s="968"/>
      <c r="BL109" s="913"/>
    </row>
    <row r="110" spans="1:64" s="371" customFormat="1" x14ac:dyDescent="0.3">
      <c r="A110" s="949">
        <v>344</v>
      </c>
      <c r="B110" s="1017"/>
      <c r="C110" s="948">
        <v>344</v>
      </c>
      <c r="D110" s="949" t="s">
        <v>1132</v>
      </c>
      <c r="E110" s="949"/>
      <c r="F110" s="949"/>
      <c r="G110" s="965"/>
      <c r="H110" s="966"/>
      <c r="I110" s="966"/>
      <c r="J110" s="966"/>
      <c r="K110" s="966"/>
      <c r="L110" s="966"/>
      <c r="M110" s="967"/>
      <c r="N110" s="968"/>
      <c r="O110" s="968"/>
      <c r="P110" s="969"/>
      <c r="Q110" s="969"/>
      <c r="R110" s="969"/>
      <c r="S110" s="969"/>
      <c r="T110" s="969"/>
      <c r="U110" s="969"/>
      <c r="V110" s="969"/>
      <c r="W110" s="969"/>
      <c r="X110" s="969"/>
      <c r="Y110" s="969"/>
      <c r="Z110" s="969"/>
      <c r="AA110" s="969"/>
      <c r="AB110" s="969"/>
      <c r="AC110" s="969"/>
      <c r="AD110" s="969"/>
      <c r="AE110" s="968"/>
      <c r="AF110" s="968"/>
      <c r="AG110" s="968"/>
      <c r="AH110" s="968"/>
      <c r="AI110" s="968"/>
      <c r="AJ110" s="968"/>
      <c r="AK110" s="968"/>
      <c r="AL110" s="968"/>
      <c r="AM110" s="968"/>
      <c r="AN110" s="968"/>
      <c r="AO110" s="968"/>
      <c r="AP110" s="968"/>
      <c r="AQ110" s="968"/>
      <c r="AR110" s="968"/>
      <c r="AS110" s="968"/>
      <c r="AT110" s="968"/>
      <c r="AU110" s="968"/>
      <c r="AV110" s="968"/>
      <c r="AW110" s="968"/>
      <c r="AX110" s="968"/>
      <c r="AY110" s="968"/>
      <c r="AZ110" s="968"/>
      <c r="BA110" s="968"/>
      <c r="BB110" s="968"/>
      <c r="BC110" s="968"/>
      <c r="BD110" s="968"/>
      <c r="BE110" s="968"/>
      <c r="BF110" s="968"/>
      <c r="BG110" s="968"/>
      <c r="BH110" s="968"/>
      <c r="BI110" s="968"/>
      <c r="BJ110" s="968"/>
      <c r="BK110" s="968"/>
      <c r="BL110" s="913"/>
    </row>
    <row r="111" spans="1:64" s="371" customFormat="1" x14ac:dyDescent="0.3">
      <c r="A111" s="949">
        <v>346</v>
      </c>
      <c r="B111" s="1017"/>
      <c r="C111" s="948">
        <v>346</v>
      </c>
      <c r="D111" s="949" t="s">
        <v>1133</v>
      </c>
      <c r="E111" s="949"/>
      <c r="F111" s="949"/>
      <c r="G111" s="965"/>
      <c r="H111" s="966"/>
      <c r="I111" s="966"/>
      <c r="J111" s="966"/>
      <c r="K111" s="966"/>
      <c r="L111" s="966"/>
      <c r="M111" s="967"/>
      <c r="N111" s="968"/>
      <c r="O111" s="968"/>
      <c r="P111" s="969"/>
      <c r="Q111" s="969"/>
      <c r="R111" s="969"/>
      <c r="S111" s="969"/>
      <c r="T111" s="969"/>
      <c r="U111" s="969"/>
      <c r="V111" s="969"/>
      <c r="W111" s="969"/>
      <c r="X111" s="969"/>
      <c r="Y111" s="969"/>
      <c r="Z111" s="969"/>
      <c r="AA111" s="969"/>
      <c r="AB111" s="969"/>
      <c r="AC111" s="969"/>
      <c r="AD111" s="969"/>
      <c r="AE111" s="968"/>
      <c r="AF111" s="968"/>
      <c r="AG111" s="968"/>
      <c r="AH111" s="968"/>
      <c r="AI111" s="968"/>
      <c r="AJ111" s="968"/>
      <c r="AK111" s="968"/>
      <c r="AL111" s="968"/>
      <c r="AM111" s="968"/>
      <c r="AN111" s="968"/>
      <c r="AO111" s="968"/>
      <c r="AP111" s="968"/>
      <c r="AQ111" s="968"/>
      <c r="AR111" s="968"/>
      <c r="AS111" s="968"/>
      <c r="AT111" s="968"/>
      <c r="AU111" s="968"/>
      <c r="AV111" s="968"/>
      <c r="AW111" s="968"/>
      <c r="AX111" s="968"/>
      <c r="AY111" s="968"/>
      <c r="AZ111" s="968"/>
      <c r="BA111" s="968"/>
      <c r="BB111" s="968"/>
      <c r="BC111" s="968"/>
      <c r="BD111" s="968"/>
      <c r="BE111" s="968"/>
      <c r="BF111" s="968"/>
      <c r="BG111" s="968"/>
      <c r="BH111" s="968"/>
      <c r="BI111" s="968"/>
      <c r="BJ111" s="968"/>
      <c r="BK111" s="968"/>
      <c r="BL111" s="913"/>
    </row>
    <row r="112" spans="1:64" s="371" customFormat="1" x14ac:dyDescent="0.3">
      <c r="A112" s="949">
        <v>347</v>
      </c>
      <c r="B112" s="1017"/>
      <c r="C112" s="948">
        <v>347</v>
      </c>
      <c r="D112" s="949" t="s">
        <v>1134</v>
      </c>
      <c r="E112" s="949"/>
      <c r="F112" s="949"/>
      <c r="G112" s="965"/>
      <c r="H112" s="966"/>
      <c r="I112" s="966"/>
      <c r="J112" s="966"/>
      <c r="K112" s="966"/>
      <c r="L112" s="966"/>
      <c r="M112" s="967"/>
      <c r="N112" s="968"/>
      <c r="O112" s="968"/>
      <c r="P112" s="969"/>
      <c r="Q112" s="969"/>
      <c r="R112" s="969"/>
      <c r="S112" s="969"/>
      <c r="T112" s="969"/>
      <c r="U112" s="969"/>
      <c r="V112" s="969"/>
      <c r="W112" s="969"/>
      <c r="X112" s="969"/>
      <c r="Y112" s="969"/>
      <c r="Z112" s="969"/>
      <c r="AA112" s="969"/>
      <c r="AB112" s="969"/>
      <c r="AC112" s="969"/>
      <c r="AD112" s="969"/>
      <c r="AE112" s="968"/>
      <c r="AF112" s="968"/>
      <c r="AG112" s="968"/>
      <c r="AH112" s="968"/>
      <c r="AI112" s="968"/>
      <c r="AJ112" s="968"/>
      <c r="AK112" s="968"/>
      <c r="AL112" s="968"/>
      <c r="AM112" s="968"/>
      <c r="AN112" s="968"/>
      <c r="AO112" s="968"/>
      <c r="AP112" s="968"/>
      <c r="AQ112" s="968"/>
      <c r="AR112" s="968"/>
      <c r="AS112" s="968"/>
      <c r="AT112" s="968"/>
      <c r="AU112" s="968"/>
      <c r="AV112" s="968"/>
      <c r="AW112" s="968"/>
      <c r="AX112" s="968"/>
      <c r="AY112" s="968"/>
      <c r="AZ112" s="968"/>
      <c r="BA112" s="968"/>
      <c r="BB112" s="968"/>
      <c r="BC112" s="968"/>
      <c r="BD112" s="968"/>
      <c r="BE112" s="968"/>
      <c r="BF112" s="968"/>
      <c r="BG112" s="968"/>
      <c r="BH112" s="968"/>
      <c r="BI112" s="968"/>
      <c r="BJ112" s="968"/>
      <c r="BK112" s="968"/>
      <c r="BL112" s="913"/>
    </row>
    <row r="113" spans="1:64" s="371" customFormat="1" x14ac:dyDescent="0.3">
      <c r="A113" s="949">
        <v>349</v>
      </c>
      <c r="B113" s="1017"/>
      <c r="C113" s="948">
        <v>349</v>
      </c>
      <c r="D113" s="949" t="s">
        <v>1135</v>
      </c>
      <c r="E113" s="949"/>
      <c r="F113" s="949"/>
      <c r="G113" s="965"/>
      <c r="H113" s="966"/>
      <c r="I113" s="966"/>
      <c r="J113" s="966"/>
      <c r="K113" s="966"/>
      <c r="L113" s="966"/>
      <c r="M113" s="967"/>
      <c r="N113" s="968"/>
      <c r="O113" s="968"/>
      <c r="P113" s="969"/>
      <c r="Q113" s="969"/>
      <c r="R113" s="969"/>
      <c r="S113" s="969"/>
      <c r="T113" s="969"/>
      <c r="U113" s="969"/>
      <c r="V113" s="969"/>
      <c r="W113" s="969"/>
      <c r="X113" s="969"/>
      <c r="Y113" s="969"/>
      <c r="Z113" s="969"/>
      <c r="AA113" s="969"/>
      <c r="AB113" s="969"/>
      <c r="AC113" s="969"/>
      <c r="AD113" s="969"/>
      <c r="AE113" s="968"/>
      <c r="AF113" s="968"/>
      <c r="AG113" s="968"/>
      <c r="AH113" s="968"/>
      <c r="AI113" s="968"/>
      <c r="AJ113" s="968"/>
      <c r="AK113" s="968"/>
      <c r="AL113" s="968"/>
      <c r="AM113" s="968"/>
      <c r="AN113" s="968"/>
      <c r="AO113" s="968"/>
      <c r="AP113" s="968"/>
      <c r="AQ113" s="968"/>
      <c r="AR113" s="968"/>
      <c r="AS113" s="968"/>
      <c r="AT113" s="968"/>
      <c r="AU113" s="968"/>
      <c r="AV113" s="968"/>
      <c r="AW113" s="968"/>
      <c r="AX113" s="968"/>
      <c r="AY113" s="968"/>
      <c r="AZ113" s="968"/>
      <c r="BA113" s="968"/>
      <c r="BB113" s="968"/>
      <c r="BC113" s="968"/>
      <c r="BD113" s="968"/>
      <c r="BE113" s="968"/>
      <c r="BF113" s="968"/>
      <c r="BG113" s="968"/>
      <c r="BH113" s="968"/>
      <c r="BI113" s="968"/>
      <c r="BJ113" s="968"/>
      <c r="BK113" s="968"/>
      <c r="BL113" s="913"/>
    </row>
    <row r="114" spans="1:64" s="371" customFormat="1" x14ac:dyDescent="0.3">
      <c r="A114" s="949">
        <v>350</v>
      </c>
      <c r="B114" s="1017"/>
      <c r="C114" s="948">
        <v>350</v>
      </c>
      <c r="D114" s="949" t="s">
        <v>1136</v>
      </c>
      <c r="E114" s="949"/>
      <c r="F114" s="949"/>
      <c r="G114" s="965"/>
      <c r="H114" s="966"/>
      <c r="I114" s="966"/>
      <c r="J114" s="966"/>
      <c r="K114" s="966"/>
      <c r="L114" s="966"/>
      <c r="M114" s="967"/>
      <c r="N114" s="968"/>
      <c r="O114" s="968"/>
      <c r="P114" s="969"/>
      <c r="Q114" s="969"/>
      <c r="R114" s="969"/>
      <c r="S114" s="969"/>
      <c r="T114" s="969"/>
      <c r="U114" s="969"/>
      <c r="V114" s="969"/>
      <c r="W114" s="969"/>
      <c r="X114" s="969"/>
      <c r="Y114" s="969"/>
      <c r="Z114" s="969"/>
      <c r="AA114" s="969"/>
      <c r="AB114" s="969"/>
      <c r="AC114" s="969"/>
      <c r="AD114" s="969"/>
      <c r="AE114" s="968"/>
      <c r="AF114" s="968"/>
      <c r="AG114" s="968"/>
      <c r="AH114" s="968"/>
      <c r="AI114" s="968"/>
      <c r="AJ114" s="968"/>
      <c r="AK114" s="968"/>
      <c r="AL114" s="968"/>
      <c r="AM114" s="968"/>
      <c r="AN114" s="968"/>
      <c r="AO114" s="968"/>
      <c r="AP114" s="968"/>
      <c r="AQ114" s="968"/>
      <c r="AR114" s="968"/>
      <c r="AS114" s="968"/>
      <c r="AT114" s="968"/>
      <c r="AU114" s="968"/>
      <c r="AV114" s="968"/>
      <c r="AW114" s="968"/>
      <c r="AX114" s="968"/>
      <c r="AY114" s="968"/>
      <c r="AZ114" s="968"/>
      <c r="BA114" s="968"/>
      <c r="BB114" s="968"/>
      <c r="BC114" s="968"/>
      <c r="BD114" s="968"/>
      <c r="BE114" s="968"/>
      <c r="BF114" s="968"/>
      <c r="BG114" s="968"/>
      <c r="BH114" s="968"/>
      <c r="BI114" s="968"/>
      <c r="BJ114" s="968"/>
      <c r="BK114" s="968"/>
      <c r="BL114" s="913"/>
    </row>
    <row r="115" spans="1:64" s="371" customFormat="1" x14ac:dyDescent="0.3">
      <c r="A115" s="949">
        <v>351</v>
      </c>
      <c r="B115" s="1017"/>
      <c r="C115" s="948">
        <v>351</v>
      </c>
      <c r="D115" s="949" t="s">
        <v>1137</v>
      </c>
      <c r="E115" s="949"/>
      <c r="F115" s="949"/>
      <c r="G115" s="965"/>
      <c r="H115" s="966"/>
      <c r="I115" s="966"/>
      <c r="J115" s="966"/>
      <c r="K115" s="966"/>
      <c r="L115" s="966"/>
      <c r="M115" s="967"/>
      <c r="N115" s="968"/>
      <c r="O115" s="968"/>
      <c r="P115" s="969"/>
      <c r="Q115" s="969"/>
      <c r="R115" s="969"/>
      <c r="S115" s="969"/>
      <c r="T115" s="969"/>
      <c r="U115" s="969"/>
      <c r="V115" s="969"/>
      <c r="W115" s="969"/>
      <c r="X115" s="969"/>
      <c r="Y115" s="969"/>
      <c r="Z115" s="969"/>
      <c r="AA115" s="969"/>
      <c r="AB115" s="969"/>
      <c r="AC115" s="969"/>
      <c r="AD115" s="969"/>
      <c r="AE115" s="968"/>
      <c r="AF115" s="968"/>
      <c r="AG115" s="968"/>
      <c r="AH115" s="968"/>
      <c r="AI115" s="968"/>
      <c r="AJ115" s="968"/>
      <c r="AK115" s="968"/>
      <c r="AL115" s="968"/>
      <c r="AM115" s="968"/>
      <c r="AN115" s="968"/>
      <c r="AO115" s="968"/>
      <c r="AP115" s="968"/>
      <c r="AQ115" s="968"/>
      <c r="AR115" s="968"/>
      <c r="AS115" s="968"/>
      <c r="AT115" s="968"/>
      <c r="AU115" s="968"/>
      <c r="AV115" s="968"/>
      <c r="AW115" s="968"/>
      <c r="AX115" s="968"/>
      <c r="AY115" s="968"/>
      <c r="AZ115" s="968"/>
      <c r="BA115" s="968"/>
      <c r="BB115" s="968"/>
      <c r="BC115" s="968"/>
      <c r="BD115" s="968"/>
      <c r="BE115" s="968"/>
      <c r="BF115" s="968"/>
      <c r="BG115" s="968"/>
      <c r="BH115" s="968"/>
      <c r="BI115" s="968"/>
      <c r="BJ115" s="968"/>
      <c r="BK115" s="968"/>
      <c r="BL115" s="913"/>
    </row>
    <row r="116" spans="1:64" s="371" customFormat="1" x14ac:dyDescent="0.3">
      <c r="A116" s="949">
        <v>352</v>
      </c>
      <c r="B116" s="1017"/>
      <c r="C116" s="948">
        <v>352</v>
      </c>
      <c r="D116" s="949" t="s">
        <v>1138</v>
      </c>
      <c r="E116" s="949"/>
      <c r="F116" s="949"/>
      <c r="G116" s="965"/>
      <c r="H116" s="966"/>
      <c r="I116" s="966"/>
      <c r="J116" s="966"/>
      <c r="K116" s="966"/>
      <c r="L116" s="966"/>
      <c r="M116" s="967"/>
      <c r="N116" s="968"/>
      <c r="O116" s="968"/>
      <c r="P116" s="969"/>
      <c r="Q116" s="969"/>
      <c r="R116" s="969"/>
      <c r="S116" s="969"/>
      <c r="T116" s="969"/>
      <c r="U116" s="969"/>
      <c r="V116" s="969"/>
      <c r="W116" s="969"/>
      <c r="X116" s="969"/>
      <c r="Y116" s="969"/>
      <c r="Z116" s="969"/>
      <c r="AA116" s="969"/>
      <c r="AB116" s="969"/>
      <c r="AC116" s="969"/>
      <c r="AD116" s="969"/>
      <c r="AE116" s="968"/>
      <c r="AF116" s="968"/>
      <c r="AG116" s="968"/>
      <c r="AH116" s="968"/>
      <c r="AI116" s="968"/>
      <c r="AJ116" s="968"/>
      <c r="AK116" s="968"/>
      <c r="AL116" s="968"/>
      <c r="AM116" s="968"/>
      <c r="AN116" s="968"/>
      <c r="AO116" s="968"/>
      <c r="AP116" s="968"/>
      <c r="AQ116" s="968"/>
      <c r="AR116" s="968"/>
      <c r="AS116" s="968"/>
      <c r="AT116" s="968"/>
      <c r="AU116" s="968"/>
      <c r="AV116" s="968"/>
      <c r="AW116" s="968"/>
      <c r="AX116" s="968"/>
      <c r="AY116" s="968"/>
      <c r="AZ116" s="968"/>
      <c r="BA116" s="968"/>
      <c r="BB116" s="968"/>
      <c r="BC116" s="968"/>
      <c r="BD116" s="968"/>
      <c r="BE116" s="968"/>
      <c r="BF116" s="968"/>
      <c r="BG116" s="968"/>
      <c r="BH116" s="968"/>
      <c r="BI116" s="968"/>
      <c r="BJ116" s="968"/>
      <c r="BK116" s="968"/>
      <c r="BL116" s="913"/>
    </row>
    <row r="117" spans="1:64" s="371" customFormat="1" x14ac:dyDescent="0.3">
      <c r="A117" s="949">
        <v>353</v>
      </c>
      <c r="B117" s="1017"/>
      <c r="C117" s="948">
        <v>353</v>
      </c>
      <c r="D117" s="949" t="s">
        <v>1139</v>
      </c>
      <c r="E117" s="949"/>
      <c r="F117" s="949"/>
      <c r="G117" s="965"/>
      <c r="H117" s="966"/>
      <c r="I117" s="966"/>
      <c r="J117" s="966"/>
      <c r="K117" s="966"/>
      <c r="L117" s="966"/>
      <c r="M117" s="967"/>
      <c r="N117" s="968"/>
      <c r="O117" s="968"/>
      <c r="P117" s="969"/>
      <c r="Q117" s="969"/>
      <c r="R117" s="969"/>
      <c r="S117" s="969"/>
      <c r="T117" s="969"/>
      <c r="U117" s="969"/>
      <c r="V117" s="969"/>
      <c r="W117" s="969"/>
      <c r="X117" s="969"/>
      <c r="Y117" s="969"/>
      <c r="Z117" s="969"/>
      <c r="AA117" s="969"/>
      <c r="AB117" s="969"/>
      <c r="AC117" s="969"/>
      <c r="AD117" s="969"/>
      <c r="AE117" s="968"/>
      <c r="AF117" s="968"/>
      <c r="AG117" s="968"/>
      <c r="AH117" s="968"/>
      <c r="AI117" s="968"/>
      <c r="AJ117" s="968"/>
      <c r="AK117" s="968"/>
      <c r="AL117" s="968"/>
      <c r="AM117" s="968"/>
      <c r="AN117" s="968"/>
      <c r="AO117" s="968"/>
      <c r="AP117" s="968"/>
      <c r="AQ117" s="968"/>
      <c r="AR117" s="968"/>
      <c r="AS117" s="968"/>
      <c r="AT117" s="968"/>
      <c r="AU117" s="968"/>
      <c r="AV117" s="968"/>
      <c r="AW117" s="968"/>
      <c r="AX117" s="968"/>
      <c r="AY117" s="968"/>
      <c r="AZ117" s="968"/>
      <c r="BA117" s="968"/>
      <c r="BB117" s="968"/>
      <c r="BC117" s="968"/>
      <c r="BD117" s="968"/>
      <c r="BE117" s="968"/>
      <c r="BF117" s="968"/>
      <c r="BG117" s="968"/>
      <c r="BH117" s="968"/>
      <c r="BI117" s="968"/>
      <c r="BJ117" s="968"/>
      <c r="BK117" s="968"/>
      <c r="BL117" s="913"/>
    </row>
    <row r="118" spans="1:64" s="371" customFormat="1" x14ac:dyDescent="0.3">
      <c r="A118" s="949">
        <v>356</v>
      </c>
      <c r="B118" s="1017"/>
      <c r="C118" s="948">
        <v>356</v>
      </c>
      <c r="D118" s="949" t="s">
        <v>1140</v>
      </c>
      <c r="E118" s="949"/>
      <c r="F118" s="949"/>
      <c r="G118" s="965"/>
      <c r="H118" s="966"/>
      <c r="I118" s="966"/>
      <c r="J118" s="966"/>
      <c r="K118" s="966"/>
      <c r="L118" s="966"/>
      <c r="M118" s="967"/>
      <c r="N118" s="968"/>
      <c r="O118" s="968"/>
      <c r="P118" s="969"/>
      <c r="Q118" s="969"/>
      <c r="R118" s="969"/>
      <c r="S118" s="969"/>
      <c r="T118" s="969"/>
      <c r="U118" s="969"/>
      <c r="V118" s="969"/>
      <c r="W118" s="969"/>
      <c r="X118" s="969"/>
      <c r="Y118" s="969"/>
      <c r="Z118" s="969"/>
      <c r="AA118" s="969"/>
      <c r="AB118" s="969"/>
      <c r="AC118" s="969"/>
      <c r="AD118" s="969"/>
      <c r="AE118" s="968"/>
      <c r="AF118" s="968"/>
      <c r="AG118" s="968"/>
      <c r="AH118" s="968"/>
      <c r="AI118" s="968"/>
      <c r="AJ118" s="968"/>
      <c r="AK118" s="968"/>
      <c r="AL118" s="968"/>
      <c r="AM118" s="968"/>
      <c r="AN118" s="968"/>
      <c r="AO118" s="968"/>
      <c r="AP118" s="968"/>
      <c r="AQ118" s="968"/>
      <c r="AR118" s="968"/>
      <c r="AS118" s="968"/>
      <c r="AT118" s="968"/>
      <c r="AU118" s="968"/>
      <c r="AV118" s="968"/>
      <c r="AW118" s="968"/>
      <c r="AX118" s="968"/>
      <c r="AY118" s="968"/>
      <c r="AZ118" s="968"/>
      <c r="BA118" s="968"/>
      <c r="BB118" s="968"/>
      <c r="BC118" s="968"/>
      <c r="BD118" s="968"/>
      <c r="BE118" s="968"/>
      <c r="BF118" s="968"/>
      <c r="BG118" s="968"/>
      <c r="BH118" s="968"/>
      <c r="BI118" s="968"/>
      <c r="BJ118" s="968"/>
      <c r="BK118" s="968"/>
      <c r="BL118" s="913"/>
    </row>
    <row r="119" spans="1:64" s="371" customFormat="1" x14ac:dyDescent="0.3">
      <c r="A119" s="949">
        <v>357</v>
      </c>
      <c r="B119" s="1017"/>
      <c r="C119" s="948">
        <v>357</v>
      </c>
      <c r="D119" s="949" t="s">
        <v>1141</v>
      </c>
      <c r="E119" s="949"/>
      <c r="F119" s="949"/>
      <c r="G119" s="965"/>
      <c r="H119" s="966"/>
      <c r="I119" s="966"/>
      <c r="J119" s="966"/>
      <c r="K119" s="966"/>
      <c r="L119" s="966"/>
      <c r="M119" s="967"/>
      <c r="N119" s="968"/>
      <c r="O119" s="968"/>
      <c r="P119" s="969"/>
      <c r="Q119" s="969"/>
      <c r="R119" s="969"/>
      <c r="S119" s="969"/>
      <c r="T119" s="969"/>
      <c r="U119" s="969"/>
      <c r="V119" s="969"/>
      <c r="W119" s="969"/>
      <c r="X119" s="969"/>
      <c r="Y119" s="969"/>
      <c r="Z119" s="969"/>
      <c r="AA119" s="969"/>
      <c r="AB119" s="969"/>
      <c r="AC119" s="969"/>
      <c r="AD119" s="969"/>
      <c r="AE119" s="968"/>
      <c r="AF119" s="968"/>
      <c r="AG119" s="968"/>
      <c r="AH119" s="968"/>
      <c r="AI119" s="968"/>
      <c r="AJ119" s="968"/>
      <c r="AK119" s="968"/>
      <c r="AL119" s="968"/>
      <c r="AM119" s="968"/>
      <c r="AN119" s="968"/>
      <c r="AO119" s="968"/>
      <c r="AP119" s="968"/>
      <c r="AQ119" s="968"/>
      <c r="AR119" s="968"/>
      <c r="AS119" s="968"/>
      <c r="AT119" s="968"/>
      <c r="AU119" s="968"/>
      <c r="AV119" s="968"/>
      <c r="AW119" s="968"/>
      <c r="AX119" s="968"/>
      <c r="AY119" s="968"/>
      <c r="AZ119" s="968"/>
      <c r="BA119" s="968"/>
      <c r="BB119" s="968"/>
      <c r="BC119" s="968"/>
      <c r="BD119" s="968"/>
      <c r="BE119" s="968"/>
      <c r="BF119" s="968"/>
      <c r="BG119" s="968"/>
      <c r="BH119" s="968"/>
      <c r="BI119" s="968"/>
      <c r="BJ119" s="968"/>
      <c r="BK119" s="968"/>
      <c r="BL119" s="913"/>
    </row>
    <row r="120" spans="1:64" s="371" customFormat="1" x14ac:dyDescent="0.3">
      <c r="A120" s="949">
        <v>359</v>
      </c>
      <c r="B120" s="1017"/>
      <c r="C120" s="948">
        <v>359</v>
      </c>
      <c r="D120" s="949" t="s">
        <v>1142</v>
      </c>
      <c r="E120" s="949"/>
      <c r="F120" s="949"/>
      <c r="G120" s="965"/>
      <c r="H120" s="966"/>
      <c r="I120" s="966"/>
      <c r="J120" s="966"/>
      <c r="K120" s="966"/>
      <c r="L120" s="966"/>
      <c r="M120" s="967"/>
      <c r="N120" s="968"/>
      <c r="O120" s="968"/>
      <c r="P120" s="969"/>
      <c r="Q120" s="969"/>
      <c r="R120" s="969"/>
      <c r="S120" s="969"/>
      <c r="T120" s="969"/>
      <c r="U120" s="969"/>
      <c r="V120" s="969"/>
      <c r="W120" s="969"/>
      <c r="X120" s="969"/>
      <c r="Y120" s="969"/>
      <c r="Z120" s="969"/>
      <c r="AA120" s="969"/>
      <c r="AB120" s="969"/>
      <c r="AC120" s="969"/>
      <c r="AD120" s="969"/>
      <c r="AE120" s="968"/>
      <c r="AF120" s="968"/>
      <c r="AG120" s="968"/>
      <c r="AH120" s="968"/>
      <c r="AI120" s="968"/>
      <c r="AJ120" s="968"/>
      <c r="AK120" s="968"/>
      <c r="AL120" s="968"/>
      <c r="AM120" s="968"/>
      <c r="AN120" s="968"/>
      <c r="AO120" s="968"/>
      <c r="AP120" s="968"/>
      <c r="AQ120" s="968"/>
      <c r="AR120" s="968"/>
      <c r="AS120" s="968"/>
      <c r="AT120" s="968"/>
      <c r="AU120" s="968"/>
      <c r="AV120" s="968"/>
      <c r="AW120" s="968"/>
      <c r="AX120" s="968"/>
      <c r="AY120" s="968"/>
      <c r="AZ120" s="968"/>
      <c r="BA120" s="968"/>
      <c r="BB120" s="968"/>
      <c r="BC120" s="968"/>
      <c r="BD120" s="968"/>
      <c r="BE120" s="968"/>
      <c r="BF120" s="968"/>
      <c r="BG120" s="968"/>
      <c r="BH120" s="968"/>
      <c r="BI120" s="968"/>
      <c r="BJ120" s="968"/>
      <c r="BK120" s="968"/>
      <c r="BL120" s="913"/>
    </row>
    <row r="121" spans="1:64" s="371" customFormat="1" x14ac:dyDescent="0.3">
      <c r="A121" s="949">
        <v>360</v>
      </c>
      <c r="B121" s="1017"/>
      <c r="C121" s="948">
        <v>360</v>
      </c>
      <c r="D121" s="949" t="s">
        <v>1143</v>
      </c>
      <c r="E121" s="949"/>
      <c r="F121" s="949"/>
      <c r="G121" s="965"/>
      <c r="H121" s="966"/>
      <c r="I121" s="966"/>
      <c r="J121" s="966"/>
      <c r="K121" s="966"/>
      <c r="L121" s="966"/>
      <c r="M121" s="967"/>
      <c r="N121" s="968"/>
      <c r="O121" s="968"/>
      <c r="P121" s="969"/>
      <c r="Q121" s="969"/>
      <c r="R121" s="969"/>
      <c r="S121" s="969"/>
      <c r="T121" s="969"/>
      <c r="U121" s="969"/>
      <c r="V121" s="969"/>
      <c r="W121" s="969"/>
      <c r="X121" s="969"/>
      <c r="Y121" s="969"/>
      <c r="Z121" s="969"/>
      <c r="AA121" s="969"/>
      <c r="AB121" s="969"/>
      <c r="AC121" s="969"/>
      <c r="AD121" s="969"/>
      <c r="AE121" s="968"/>
      <c r="AF121" s="968"/>
      <c r="AG121" s="968"/>
      <c r="AH121" s="968"/>
      <c r="AI121" s="968"/>
      <c r="AJ121" s="968"/>
      <c r="AK121" s="968"/>
      <c r="AL121" s="968"/>
      <c r="AM121" s="968"/>
      <c r="AN121" s="968"/>
      <c r="AO121" s="968"/>
      <c r="AP121" s="968"/>
      <c r="AQ121" s="968"/>
      <c r="AR121" s="968"/>
      <c r="AS121" s="968"/>
      <c r="AT121" s="968"/>
      <c r="AU121" s="968"/>
      <c r="AV121" s="968"/>
      <c r="AW121" s="968"/>
      <c r="AX121" s="968"/>
      <c r="AY121" s="968"/>
      <c r="AZ121" s="968"/>
      <c r="BA121" s="968"/>
      <c r="BB121" s="968"/>
      <c r="BC121" s="968"/>
      <c r="BD121" s="968"/>
      <c r="BE121" s="968"/>
      <c r="BF121" s="968"/>
      <c r="BG121" s="968"/>
      <c r="BH121" s="968"/>
      <c r="BI121" s="968"/>
      <c r="BJ121" s="968"/>
      <c r="BK121" s="968"/>
      <c r="BL121" s="913"/>
    </row>
    <row r="122" spans="1:64" s="371" customFormat="1" x14ac:dyDescent="0.3">
      <c r="A122" s="949">
        <v>361</v>
      </c>
      <c r="B122" s="1017"/>
      <c r="C122" s="948">
        <v>361</v>
      </c>
      <c r="D122" s="949" t="s">
        <v>1144</v>
      </c>
      <c r="E122" s="949"/>
      <c r="F122" s="949"/>
      <c r="G122" s="965"/>
      <c r="H122" s="966"/>
      <c r="I122" s="966"/>
      <c r="J122" s="966"/>
      <c r="K122" s="966"/>
      <c r="L122" s="966"/>
      <c r="M122" s="967"/>
      <c r="N122" s="968"/>
      <c r="O122" s="968"/>
      <c r="P122" s="969"/>
      <c r="Q122" s="969"/>
      <c r="R122" s="969"/>
      <c r="S122" s="969"/>
      <c r="T122" s="969"/>
      <c r="U122" s="969"/>
      <c r="V122" s="969"/>
      <c r="W122" s="969"/>
      <c r="X122" s="969"/>
      <c r="Y122" s="969"/>
      <c r="Z122" s="969"/>
      <c r="AA122" s="969"/>
      <c r="AB122" s="969"/>
      <c r="AC122" s="969"/>
      <c r="AD122" s="969"/>
      <c r="AE122" s="968"/>
      <c r="AF122" s="968"/>
      <c r="AG122" s="968"/>
      <c r="AH122" s="968"/>
      <c r="AI122" s="968"/>
      <c r="AJ122" s="968"/>
      <c r="AK122" s="968"/>
      <c r="AL122" s="968"/>
      <c r="AM122" s="968"/>
      <c r="AN122" s="968"/>
      <c r="AO122" s="968"/>
      <c r="AP122" s="968"/>
      <c r="AQ122" s="968"/>
      <c r="AR122" s="968"/>
      <c r="AS122" s="968"/>
      <c r="AT122" s="968"/>
      <c r="AU122" s="968"/>
      <c r="AV122" s="968"/>
      <c r="AW122" s="968"/>
      <c r="AX122" s="968"/>
      <c r="AY122" s="968"/>
      <c r="AZ122" s="968"/>
      <c r="BA122" s="968"/>
      <c r="BB122" s="968"/>
      <c r="BC122" s="968"/>
      <c r="BD122" s="968"/>
      <c r="BE122" s="968"/>
      <c r="BF122" s="968"/>
      <c r="BG122" s="968"/>
      <c r="BH122" s="968"/>
      <c r="BI122" s="968"/>
      <c r="BJ122" s="968"/>
      <c r="BK122" s="968"/>
      <c r="BL122" s="913"/>
    </row>
    <row r="123" spans="1:64" s="371" customFormat="1" x14ac:dyDescent="0.3">
      <c r="A123" s="949">
        <v>362</v>
      </c>
      <c r="B123" s="1017"/>
      <c r="C123" s="948">
        <v>362</v>
      </c>
      <c r="D123" s="949" t="s">
        <v>1145</v>
      </c>
      <c r="E123" s="949"/>
      <c r="F123" s="949"/>
      <c r="G123" s="965"/>
      <c r="H123" s="966"/>
      <c r="I123" s="966"/>
      <c r="J123" s="966"/>
      <c r="K123" s="966"/>
      <c r="L123" s="966"/>
      <c r="M123" s="967"/>
      <c r="N123" s="968"/>
      <c r="O123" s="968"/>
      <c r="P123" s="969"/>
      <c r="Q123" s="969"/>
      <c r="R123" s="969"/>
      <c r="S123" s="969"/>
      <c r="T123" s="969"/>
      <c r="U123" s="969"/>
      <c r="V123" s="969"/>
      <c r="W123" s="969"/>
      <c r="X123" s="969"/>
      <c r="Y123" s="969"/>
      <c r="Z123" s="969"/>
      <c r="AA123" s="969"/>
      <c r="AB123" s="969"/>
      <c r="AC123" s="969"/>
      <c r="AD123" s="969"/>
      <c r="AE123" s="968"/>
      <c r="AF123" s="968"/>
      <c r="AG123" s="968"/>
      <c r="AH123" s="968"/>
      <c r="AI123" s="968"/>
      <c r="AJ123" s="968"/>
      <c r="AK123" s="968"/>
      <c r="AL123" s="968"/>
      <c r="AM123" s="968"/>
      <c r="AN123" s="968"/>
      <c r="AO123" s="968"/>
      <c r="AP123" s="968"/>
      <c r="AQ123" s="968"/>
      <c r="AR123" s="968"/>
      <c r="AS123" s="968"/>
      <c r="AT123" s="968"/>
      <c r="AU123" s="968"/>
      <c r="AV123" s="968"/>
      <c r="AW123" s="968"/>
      <c r="AX123" s="968"/>
      <c r="AY123" s="968"/>
      <c r="AZ123" s="968"/>
      <c r="BA123" s="968"/>
      <c r="BB123" s="968"/>
      <c r="BC123" s="968"/>
      <c r="BD123" s="968"/>
      <c r="BE123" s="968"/>
      <c r="BF123" s="968"/>
      <c r="BG123" s="968"/>
      <c r="BH123" s="968"/>
      <c r="BI123" s="968"/>
      <c r="BJ123" s="968"/>
      <c r="BK123" s="968"/>
      <c r="BL123" s="913"/>
    </row>
    <row r="124" spans="1:64" s="371" customFormat="1" x14ac:dyDescent="0.3">
      <c r="A124" s="949">
        <v>363</v>
      </c>
      <c r="B124" s="1017"/>
      <c r="C124" s="948">
        <v>363</v>
      </c>
      <c r="D124" s="949" t="s">
        <v>1146</v>
      </c>
      <c r="E124" s="949"/>
      <c r="F124" s="949"/>
      <c r="G124" s="965"/>
      <c r="H124" s="966"/>
      <c r="I124" s="966"/>
      <c r="J124" s="966"/>
      <c r="K124" s="966"/>
      <c r="L124" s="966"/>
      <c r="M124" s="967"/>
      <c r="N124" s="968"/>
      <c r="O124" s="968"/>
      <c r="P124" s="969"/>
      <c r="Q124" s="969"/>
      <c r="R124" s="969"/>
      <c r="S124" s="969"/>
      <c r="T124" s="969"/>
      <c r="U124" s="969"/>
      <c r="V124" s="969"/>
      <c r="W124" s="969"/>
      <c r="X124" s="969"/>
      <c r="Y124" s="969"/>
      <c r="Z124" s="969"/>
      <c r="AA124" s="969"/>
      <c r="AB124" s="969"/>
      <c r="AC124" s="969"/>
      <c r="AD124" s="969"/>
      <c r="AE124" s="968"/>
      <c r="AF124" s="968"/>
      <c r="AG124" s="968"/>
      <c r="AH124" s="968"/>
      <c r="AI124" s="968"/>
      <c r="AJ124" s="968"/>
      <c r="AK124" s="968"/>
      <c r="AL124" s="968"/>
      <c r="AM124" s="968"/>
      <c r="AN124" s="968"/>
      <c r="AO124" s="968"/>
      <c r="AP124" s="968"/>
      <c r="AQ124" s="968"/>
      <c r="AR124" s="968"/>
      <c r="AS124" s="968"/>
      <c r="AT124" s="968"/>
      <c r="AU124" s="968"/>
      <c r="AV124" s="968"/>
      <c r="AW124" s="968"/>
      <c r="AX124" s="968"/>
      <c r="AY124" s="968"/>
      <c r="AZ124" s="968"/>
      <c r="BA124" s="968"/>
      <c r="BB124" s="968"/>
      <c r="BC124" s="968"/>
      <c r="BD124" s="968"/>
      <c r="BE124" s="968"/>
      <c r="BF124" s="968"/>
      <c r="BG124" s="968"/>
      <c r="BH124" s="968"/>
      <c r="BI124" s="968"/>
      <c r="BJ124" s="968"/>
      <c r="BK124" s="968"/>
      <c r="BL124" s="913"/>
    </row>
    <row r="125" spans="1:64" s="371" customFormat="1" x14ac:dyDescent="0.3">
      <c r="A125" s="949">
        <v>364</v>
      </c>
      <c r="B125" s="1017"/>
      <c r="C125" s="948">
        <v>364</v>
      </c>
      <c r="D125" s="949" t="s">
        <v>1147</v>
      </c>
      <c r="E125" s="949"/>
      <c r="F125" s="949"/>
      <c r="G125" s="965"/>
      <c r="H125" s="966"/>
      <c r="I125" s="966"/>
      <c r="J125" s="966"/>
      <c r="K125" s="966"/>
      <c r="L125" s="966"/>
      <c r="M125" s="967"/>
      <c r="N125" s="968"/>
      <c r="O125" s="968"/>
      <c r="P125" s="969"/>
      <c r="Q125" s="969"/>
      <c r="R125" s="969"/>
      <c r="S125" s="969"/>
      <c r="T125" s="969"/>
      <c r="U125" s="969"/>
      <c r="V125" s="969"/>
      <c r="W125" s="969"/>
      <c r="X125" s="969"/>
      <c r="Y125" s="969"/>
      <c r="Z125" s="969"/>
      <c r="AA125" s="969"/>
      <c r="AB125" s="969"/>
      <c r="AC125" s="969"/>
      <c r="AD125" s="969"/>
      <c r="AE125" s="968"/>
      <c r="AF125" s="968"/>
      <c r="AG125" s="968"/>
      <c r="AH125" s="968"/>
      <c r="AI125" s="968"/>
      <c r="AJ125" s="968"/>
      <c r="AK125" s="968"/>
      <c r="AL125" s="968"/>
      <c r="AM125" s="968"/>
      <c r="AN125" s="968"/>
      <c r="AO125" s="968"/>
      <c r="AP125" s="968"/>
      <c r="AQ125" s="968"/>
      <c r="AR125" s="968"/>
      <c r="AS125" s="968"/>
      <c r="AT125" s="968"/>
      <c r="AU125" s="968"/>
      <c r="AV125" s="968"/>
      <c r="AW125" s="968"/>
      <c r="AX125" s="968"/>
      <c r="AY125" s="968"/>
      <c r="AZ125" s="968"/>
      <c r="BA125" s="968"/>
      <c r="BB125" s="968"/>
      <c r="BC125" s="968"/>
      <c r="BD125" s="968"/>
      <c r="BE125" s="968"/>
      <c r="BF125" s="968"/>
      <c r="BG125" s="968"/>
      <c r="BH125" s="968"/>
      <c r="BI125" s="968"/>
      <c r="BJ125" s="968"/>
      <c r="BK125" s="968"/>
      <c r="BL125" s="913"/>
    </row>
    <row r="126" spans="1:64" s="371" customFormat="1" x14ac:dyDescent="0.3">
      <c r="A126" s="949">
        <v>365</v>
      </c>
      <c r="B126" s="1017"/>
      <c r="C126" s="948">
        <v>365</v>
      </c>
      <c r="D126" s="949" t="s">
        <v>1148</v>
      </c>
      <c r="E126" s="949"/>
      <c r="F126" s="949"/>
      <c r="G126" s="965"/>
      <c r="H126" s="966"/>
      <c r="I126" s="966"/>
      <c r="J126" s="966"/>
      <c r="K126" s="966"/>
      <c r="L126" s="966"/>
      <c r="M126" s="967"/>
      <c r="N126" s="968"/>
      <c r="O126" s="968"/>
      <c r="P126" s="969"/>
      <c r="Q126" s="969"/>
      <c r="R126" s="969"/>
      <c r="S126" s="969"/>
      <c r="T126" s="969"/>
      <c r="U126" s="969"/>
      <c r="V126" s="969"/>
      <c r="W126" s="969"/>
      <c r="X126" s="969"/>
      <c r="Y126" s="969"/>
      <c r="Z126" s="969"/>
      <c r="AA126" s="969"/>
      <c r="AB126" s="969"/>
      <c r="AC126" s="969"/>
      <c r="AD126" s="969"/>
      <c r="AE126" s="968"/>
      <c r="AF126" s="968"/>
      <c r="AG126" s="968"/>
      <c r="AH126" s="968"/>
      <c r="AI126" s="968"/>
      <c r="AJ126" s="968"/>
      <c r="AK126" s="968"/>
      <c r="AL126" s="968"/>
      <c r="AM126" s="968"/>
      <c r="AN126" s="968"/>
      <c r="AO126" s="968"/>
      <c r="AP126" s="968"/>
      <c r="AQ126" s="968"/>
      <c r="AR126" s="968"/>
      <c r="AS126" s="968"/>
      <c r="AT126" s="968"/>
      <c r="AU126" s="968"/>
      <c r="AV126" s="968"/>
      <c r="AW126" s="968"/>
      <c r="AX126" s="968"/>
      <c r="AY126" s="968"/>
      <c r="AZ126" s="968"/>
      <c r="BA126" s="968"/>
      <c r="BB126" s="968"/>
      <c r="BC126" s="968"/>
      <c r="BD126" s="968"/>
      <c r="BE126" s="968"/>
      <c r="BF126" s="968"/>
      <c r="BG126" s="968"/>
      <c r="BH126" s="968"/>
      <c r="BI126" s="968"/>
      <c r="BJ126" s="968"/>
      <c r="BK126" s="968"/>
      <c r="BL126" s="913"/>
    </row>
    <row r="127" spans="1:64" s="371" customFormat="1" x14ac:dyDescent="0.3">
      <c r="A127" s="949">
        <v>366</v>
      </c>
      <c r="B127" s="1017"/>
      <c r="C127" s="948">
        <v>366</v>
      </c>
      <c r="D127" s="949" t="s">
        <v>1149</v>
      </c>
      <c r="E127" s="949"/>
      <c r="F127" s="949"/>
      <c r="G127" s="965"/>
      <c r="H127" s="966"/>
      <c r="I127" s="966"/>
      <c r="J127" s="966"/>
      <c r="K127" s="966"/>
      <c r="L127" s="966"/>
      <c r="M127" s="967"/>
      <c r="N127" s="968"/>
      <c r="O127" s="968"/>
      <c r="P127" s="969"/>
      <c r="Q127" s="969"/>
      <c r="R127" s="969"/>
      <c r="S127" s="969"/>
      <c r="T127" s="969"/>
      <c r="U127" s="969"/>
      <c r="V127" s="969"/>
      <c r="W127" s="969"/>
      <c r="X127" s="969"/>
      <c r="Y127" s="969"/>
      <c r="Z127" s="969"/>
      <c r="AA127" s="969"/>
      <c r="AB127" s="969"/>
      <c r="AC127" s="969"/>
      <c r="AD127" s="969"/>
      <c r="AE127" s="968"/>
      <c r="AF127" s="968"/>
      <c r="AG127" s="968"/>
      <c r="AH127" s="968"/>
      <c r="AI127" s="968"/>
      <c r="AJ127" s="968"/>
      <c r="AK127" s="968"/>
      <c r="AL127" s="968"/>
      <c r="AM127" s="968"/>
      <c r="AN127" s="968"/>
      <c r="AO127" s="968"/>
      <c r="AP127" s="968"/>
      <c r="AQ127" s="968"/>
      <c r="AR127" s="968"/>
      <c r="AS127" s="968"/>
      <c r="AT127" s="968"/>
      <c r="AU127" s="968"/>
      <c r="AV127" s="968"/>
      <c r="AW127" s="968"/>
      <c r="AX127" s="968"/>
      <c r="AY127" s="968"/>
      <c r="AZ127" s="968"/>
      <c r="BA127" s="968"/>
      <c r="BB127" s="968"/>
      <c r="BC127" s="968"/>
      <c r="BD127" s="968"/>
      <c r="BE127" s="968"/>
      <c r="BF127" s="968"/>
      <c r="BG127" s="968"/>
      <c r="BH127" s="968"/>
      <c r="BI127" s="968"/>
      <c r="BJ127" s="968"/>
      <c r="BK127" s="968"/>
      <c r="BL127" s="913"/>
    </row>
    <row r="128" spans="1:64" s="371" customFormat="1" x14ac:dyDescent="0.3">
      <c r="A128" s="949">
        <v>367</v>
      </c>
      <c r="B128" s="1017"/>
      <c r="C128" s="948">
        <v>367</v>
      </c>
      <c r="D128" s="949" t="s">
        <v>1150</v>
      </c>
      <c r="E128" s="949"/>
      <c r="F128" s="949"/>
      <c r="G128" s="965"/>
      <c r="H128" s="966"/>
      <c r="I128" s="966"/>
      <c r="J128" s="966"/>
      <c r="K128" s="966"/>
      <c r="L128" s="966"/>
      <c r="M128" s="967"/>
      <c r="N128" s="968"/>
      <c r="O128" s="968"/>
      <c r="P128" s="969"/>
      <c r="Q128" s="969"/>
      <c r="R128" s="969"/>
      <c r="S128" s="969"/>
      <c r="T128" s="969"/>
      <c r="U128" s="969"/>
      <c r="V128" s="969"/>
      <c r="W128" s="969"/>
      <c r="X128" s="969"/>
      <c r="Y128" s="969"/>
      <c r="Z128" s="969"/>
      <c r="AA128" s="969"/>
      <c r="AB128" s="969"/>
      <c r="AC128" s="969"/>
      <c r="AD128" s="969"/>
      <c r="AE128" s="968"/>
      <c r="AF128" s="968"/>
      <c r="AG128" s="968"/>
      <c r="AH128" s="968"/>
      <c r="AI128" s="968"/>
      <c r="AJ128" s="968"/>
      <c r="AK128" s="968"/>
      <c r="AL128" s="968"/>
      <c r="AM128" s="968"/>
      <c r="AN128" s="968"/>
      <c r="AO128" s="968"/>
      <c r="AP128" s="968"/>
      <c r="AQ128" s="968"/>
      <c r="AR128" s="968"/>
      <c r="AS128" s="968"/>
      <c r="AT128" s="968"/>
      <c r="AU128" s="968"/>
      <c r="AV128" s="968"/>
      <c r="AW128" s="968"/>
      <c r="AX128" s="968"/>
      <c r="AY128" s="968"/>
      <c r="AZ128" s="968"/>
      <c r="BA128" s="968"/>
      <c r="BB128" s="968"/>
      <c r="BC128" s="968"/>
      <c r="BD128" s="968"/>
      <c r="BE128" s="968"/>
      <c r="BF128" s="968"/>
      <c r="BG128" s="968"/>
      <c r="BH128" s="968"/>
      <c r="BI128" s="968"/>
      <c r="BJ128" s="968"/>
      <c r="BK128" s="968"/>
      <c r="BL128" s="913"/>
    </row>
    <row r="129" spans="1:65" s="371" customFormat="1" x14ac:dyDescent="0.3">
      <c r="A129" s="949">
        <v>368</v>
      </c>
      <c r="B129" s="1017"/>
      <c r="C129" s="948">
        <v>368</v>
      </c>
      <c r="D129" s="949" t="s">
        <v>1151</v>
      </c>
      <c r="E129" s="949"/>
      <c r="F129" s="949"/>
      <c r="G129" s="965"/>
      <c r="H129" s="966"/>
      <c r="I129" s="966"/>
      <c r="J129" s="966"/>
      <c r="K129" s="966"/>
      <c r="L129" s="966"/>
      <c r="M129" s="967"/>
      <c r="N129" s="968"/>
      <c r="O129" s="968"/>
      <c r="P129" s="969"/>
      <c r="Q129" s="969"/>
      <c r="R129" s="969"/>
      <c r="S129" s="969"/>
      <c r="T129" s="969"/>
      <c r="U129" s="969"/>
      <c r="V129" s="969"/>
      <c r="W129" s="969"/>
      <c r="X129" s="969"/>
      <c r="Y129" s="969"/>
      <c r="Z129" s="969"/>
      <c r="AA129" s="969"/>
      <c r="AB129" s="969"/>
      <c r="AC129" s="969"/>
      <c r="AD129" s="969"/>
      <c r="AE129" s="968"/>
      <c r="AF129" s="968"/>
      <c r="AG129" s="968"/>
      <c r="AH129" s="968"/>
      <c r="AI129" s="968"/>
      <c r="AJ129" s="968"/>
      <c r="AK129" s="968"/>
      <c r="AL129" s="968"/>
      <c r="AM129" s="968"/>
      <c r="AN129" s="968"/>
      <c r="AO129" s="968"/>
      <c r="AP129" s="968"/>
      <c r="AQ129" s="968"/>
      <c r="AR129" s="968"/>
      <c r="AS129" s="968"/>
      <c r="AT129" s="968"/>
      <c r="AU129" s="968"/>
      <c r="AV129" s="968"/>
      <c r="AW129" s="968"/>
      <c r="AX129" s="968"/>
      <c r="AY129" s="968"/>
      <c r="AZ129" s="968"/>
      <c r="BA129" s="968"/>
      <c r="BB129" s="968"/>
      <c r="BC129" s="968"/>
      <c r="BD129" s="968"/>
      <c r="BE129" s="968"/>
      <c r="BF129" s="968"/>
      <c r="BG129" s="968"/>
      <c r="BH129" s="968"/>
      <c r="BI129" s="968"/>
      <c r="BJ129" s="968"/>
      <c r="BK129" s="968"/>
      <c r="BL129" s="913"/>
      <c r="BM129" s="903"/>
    </row>
    <row r="130" spans="1:65" s="371" customFormat="1" x14ac:dyDescent="0.3">
      <c r="A130" s="949">
        <v>369</v>
      </c>
      <c r="B130" s="1017"/>
      <c r="C130" s="948">
        <v>369</v>
      </c>
      <c r="D130" s="949" t="s">
        <v>1152</v>
      </c>
      <c r="E130" s="949"/>
      <c r="F130" s="949"/>
      <c r="G130" s="965"/>
      <c r="H130" s="966"/>
      <c r="I130" s="966"/>
      <c r="J130" s="966"/>
      <c r="K130" s="966"/>
      <c r="L130" s="966"/>
      <c r="M130" s="967"/>
      <c r="N130" s="968"/>
      <c r="O130" s="968"/>
      <c r="P130" s="969"/>
      <c r="Q130" s="969"/>
      <c r="R130" s="969"/>
      <c r="S130" s="969"/>
      <c r="T130" s="969"/>
      <c r="U130" s="969"/>
      <c r="V130" s="969"/>
      <c r="W130" s="969"/>
      <c r="X130" s="969"/>
      <c r="Y130" s="969"/>
      <c r="Z130" s="969"/>
      <c r="AA130" s="969"/>
      <c r="AB130" s="969"/>
      <c r="AC130" s="969"/>
      <c r="AD130" s="969"/>
      <c r="AE130" s="968"/>
      <c r="AF130" s="968"/>
      <c r="AG130" s="968"/>
      <c r="AH130" s="968"/>
      <c r="AI130" s="968"/>
      <c r="AJ130" s="968"/>
      <c r="AK130" s="968"/>
      <c r="AL130" s="968"/>
      <c r="AM130" s="968"/>
      <c r="AN130" s="968"/>
      <c r="AO130" s="968"/>
      <c r="AP130" s="968"/>
      <c r="AQ130" s="968"/>
      <c r="AR130" s="968"/>
      <c r="AS130" s="968"/>
      <c r="AT130" s="968"/>
      <c r="AU130" s="968"/>
      <c r="AV130" s="968"/>
      <c r="AW130" s="968"/>
      <c r="AX130" s="968"/>
      <c r="AY130" s="968"/>
      <c r="AZ130" s="968"/>
      <c r="BA130" s="968"/>
      <c r="BB130" s="968"/>
      <c r="BC130" s="968"/>
      <c r="BD130" s="968"/>
      <c r="BE130" s="968"/>
      <c r="BF130" s="968"/>
      <c r="BG130" s="968"/>
      <c r="BH130" s="968"/>
      <c r="BI130" s="968"/>
      <c r="BJ130" s="968"/>
      <c r="BK130" s="968"/>
      <c r="BL130" s="913"/>
      <c r="BM130" s="903"/>
    </row>
    <row r="131" spans="1:65" s="371" customFormat="1" x14ac:dyDescent="0.3">
      <c r="A131" s="949">
        <v>370</v>
      </c>
      <c r="B131" s="1017"/>
      <c r="C131" s="948">
        <v>370</v>
      </c>
      <c r="D131" s="949" t="s">
        <v>1153</v>
      </c>
      <c r="E131" s="949"/>
      <c r="F131" s="949"/>
      <c r="G131" s="965"/>
      <c r="H131" s="966"/>
      <c r="I131" s="966"/>
      <c r="J131" s="966"/>
      <c r="K131" s="966"/>
      <c r="L131" s="966"/>
      <c r="M131" s="967"/>
      <c r="N131" s="968"/>
      <c r="O131" s="968"/>
      <c r="P131" s="969"/>
      <c r="Q131" s="969"/>
      <c r="R131" s="969"/>
      <c r="S131" s="969"/>
      <c r="T131" s="969"/>
      <c r="U131" s="969"/>
      <c r="V131" s="969"/>
      <c r="W131" s="969"/>
      <c r="X131" s="969"/>
      <c r="Y131" s="969"/>
      <c r="Z131" s="969"/>
      <c r="AA131" s="969"/>
      <c r="AB131" s="969"/>
      <c r="AC131" s="969"/>
      <c r="AD131" s="969"/>
      <c r="AE131" s="968"/>
      <c r="AF131" s="968"/>
      <c r="AG131" s="968"/>
      <c r="AH131" s="968"/>
      <c r="AI131" s="968"/>
      <c r="AJ131" s="968"/>
      <c r="AK131" s="968"/>
      <c r="AL131" s="968"/>
      <c r="AM131" s="968"/>
      <c r="AN131" s="968"/>
      <c r="AO131" s="968"/>
      <c r="AP131" s="968"/>
      <c r="AQ131" s="968"/>
      <c r="AR131" s="968"/>
      <c r="AS131" s="968"/>
      <c r="AT131" s="968"/>
      <c r="AU131" s="968"/>
      <c r="AV131" s="968"/>
      <c r="AW131" s="968"/>
      <c r="AX131" s="968"/>
      <c r="AY131" s="968"/>
      <c r="AZ131" s="968"/>
      <c r="BA131" s="968"/>
      <c r="BB131" s="968"/>
      <c r="BC131" s="968"/>
      <c r="BD131" s="968"/>
      <c r="BE131" s="968"/>
      <c r="BF131" s="968"/>
      <c r="BG131" s="968"/>
      <c r="BH131" s="968"/>
      <c r="BI131" s="968"/>
      <c r="BJ131" s="968"/>
      <c r="BK131" s="968"/>
      <c r="BL131" s="913"/>
      <c r="BM131" s="903"/>
    </row>
    <row r="132" spans="1:65" s="371" customFormat="1" x14ac:dyDescent="0.3">
      <c r="A132" s="949">
        <v>371</v>
      </c>
      <c r="B132" s="1017"/>
      <c r="C132" s="948">
        <v>371</v>
      </c>
      <c r="D132" s="949" t="s">
        <v>1154</v>
      </c>
      <c r="E132" s="949"/>
      <c r="F132" s="949"/>
      <c r="G132" s="965"/>
      <c r="H132" s="966"/>
      <c r="I132" s="966"/>
      <c r="J132" s="966"/>
      <c r="K132" s="966"/>
      <c r="L132" s="966"/>
      <c r="M132" s="967"/>
      <c r="N132" s="968"/>
      <c r="O132" s="968"/>
      <c r="P132" s="969"/>
      <c r="Q132" s="969"/>
      <c r="R132" s="969"/>
      <c r="S132" s="969"/>
      <c r="T132" s="969"/>
      <c r="U132" s="969"/>
      <c r="V132" s="969"/>
      <c r="W132" s="969"/>
      <c r="X132" s="969"/>
      <c r="Y132" s="969"/>
      <c r="Z132" s="969"/>
      <c r="AA132" s="969"/>
      <c r="AB132" s="969"/>
      <c r="AC132" s="969"/>
      <c r="AD132" s="969"/>
      <c r="AE132" s="968"/>
      <c r="AF132" s="968"/>
      <c r="AG132" s="968"/>
      <c r="AH132" s="968"/>
      <c r="AI132" s="968"/>
      <c r="AJ132" s="968"/>
      <c r="AK132" s="968"/>
      <c r="AL132" s="968"/>
      <c r="AM132" s="968"/>
      <c r="AN132" s="968"/>
      <c r="AO132" s="968"/>
      <c r="AP132" s="968"/>
      <c r="AQ132" s="968"/>
      <c r="AR132" s="968"/>
      <c r="AS132" s="968"/>
      <c r="AT132" s="968"/>
      <c r="AU132" s="968"/>
      <c r="AV132" s="968"/>
      <c r="AW132" s="968"/>
      <c r="AX132" s="968"/>
      <c r="AY132" s="968"/>
      <c r="AZ132" s="968"/>
      <c r="BA132" s="968"/>
      <c r="BB132" s="968"/>
      <c r="BC132" s="968"/>
      <c r="BD132" s="968"/>
      <c r="BE132" s="968"/>
      <c r="BF132" s="968"/>
      <c r="BG132" s="968"/>
      <c r="BH132" s="968"/>
      <c r="BI132" s="968"/>
      <c r="BJ132" s="968"/>
      <c r="BK132" s="968"/>
      <c r="BL132" s="913"/>
      <c r="BM132" s="903"/>
    </row>
    <row r="133" spans="1:65" s="371" customFormat="1" x14ac:dyDescent="0.3">
      <c r="A133" s="949">
        <v>373</v>
      </c>
      <c r="B133" s="1017"/>
      <c r="C133" s="948">
        <v>373</v>
      </c>
      <c r="D133" s="949" t="s">
        <v>1155</v>
      </c>
      <c r="E133" s="949"/>
      <c r="F133" s="949"/>
      <c r="G133" s="965"/>
      <c r="H133" s="966"/>
      <c r="I133" s="966"/>
      <c r="J133" s="966"/>
      <c r="K133" s="966"/>
      <c r="L133" s="966"/>
      <c r="M133" s="967"/>
      <c r="N133" s="968"/>
      <c r="O133" s="968"/>
      <c r="P133" s="969"/>
      <c r="Q133" s="969"/>
      <c r="R133" s="969"/>
      <c r="S133" s="969"/>
      <c r="T133" s="969"/>
      <c r="U133" s="969"/>
      <c r="V133" s="969"/>
      <c r="W133" s="969"/>
      <c r="X133" s="969"/>
      <c r="Y133" s="969"/>
      <c r="Z133" s="969"/>
      <c r="AA133" s="969"/>
      <c r="AB133" s="969"/>
      <c r="AC133" s="969"/>
      <c r="AD133" s="969"/>
      <c r="AE133" s="968"/>
      <c r="AF133" s="968"/>
      <c r="AG133" s="968"/>
      <c r="AH133" s="968"/>
      <c r="AI133" s="968"/>
      <c r="AJ133" s="968"/>
      <c r="AK133" s="968"/>
      <c r="AL133" s="968"/>
      <c r="AM133" s="968"/>
      <c r="AN133" s="968"/>
      <c r="AO133" s="968"/>
      <c r="AP133" s="968"/>
      <c r="AQ133" s="968"/>
      <c r="AR133" s="968"/>
      <c r="AS133" s="968"/>
      <c r="AT133" s="968"/>
      <c r="AU133" s="968"/>
      <c r="AV133" s="968"/>
      <c r="AW133" s="968"/>
      <c r="AX133" s="968"/>
      <c r="AY133" s="968"/>
      <c r="AZ133" s="968"/>
      <c r="BA133" s="968"/>
      <c r="BB133" s="968"/>
      <c r="BC133" s="968"/>
      <c r="BD133" s="968"/>
      <c r="BE133" s="968"/>
      <c r="BF133" s="968"/>
      <c r="BG133" s="968"/>
      <c r="BH133" s="968"/>
      <c r="BI133" s="968"/>
      <c r="BJ133" s="968"/>
      <c r="BK133" s="968"/>
      <c r="BL133" s="913"/>
      <c r="BM133" s="903"/>
    </row>
    <row r="134" spans="1:65" s="371" customFormat="1" x14ac:dyDescent="0.3">
      <c r="A134" s="949">
        <v>375</v>
      </c>
      <c r="B134" s="1017"/>
      <c r="C134" s="948">
        <v>375</v>
      </c>
      <c r="D134" s="949" t="s">
        <v>1156</v>
      </c>
      <c r="E134" s="949"/>
      <c r="F134" s="949"/>
      <c r="G134" s="965"/>
      <c r="H134" s="966"/>
      <c r="I134" s="966"/>
      <c r="J134" s="966"/>
      <c r="K134" s="966"/>
      <c r="L134" s="966"/>
      <c r="M134" s="967"/>
      <c r="N134" s="968"/>
      <c r="O134" s="968"/>
      <c r="P134" s="969"/>
      <c r="Q134" s="969"/>
      <c r="R134" s="969"/>
      <c r="S134" s="969"/>
      <c r="T134" s="969"/>
      <c r="U134" s="969"/>
      <c r="V134" s="969"/>
      <c r="W134" s="969"/>
      <c r="X134" s="969"/>
      <c r="Y134" s="969"/>
      <c r="Z134" s="969"/>
      <c r="AA134" s="969"/>
      <c r="AB134" s="969"/>
      <c r="AC134" s="969"/>
      <c r="AD134" s="969"/>
      <c r="AE134" s="968"/>
      <c r="AF134" s="968"/>
      <c r="AG134" s="968"/>
      <c r="AH134" s="968"/>
      <c r="AI134" s="968"/>
      <c r="AJ134" s="968"/>
      <c r="AK134" s="968"/>
      <c r="AL134" s="968"/>
      <c r="AM134" s="968"/>
      <c r="AN134" s="968"/>
      <c r="AO134" s="968"/>
      <c r="AP134" s="968"/>
      <c r="AQ134" s="968"/>
      <c r="AR134" s="968"/>
      <c r="AS134" s="968"/>
      <c r="AT134" s="968"/>
      <c r="AU134" s="968"/>
      <c r="AV134" s="968"/>
      <c r="AW134" s="968"/>
      <c r="AX134" s="968"/>
      <c r="AY134" s="968"/>
      <c r="AZ134" s="968"/>
      <c r="BA134" s="968"/>
      <c r="BB134" s="968"/>
      <c r="BC134" s="968"/>
      <c r="BD134" s="968"/>
      <c r="BE134" s="968"/>
      <c r="BF134" s="968"/>
      <c r="BG134" s="968"/>
      <c r="BH134" s="968"/>
      <c r="BI134" s="968"/>
      <c r="BJ134" s="968"/>
      <c r="BK134" s="968"/>
      <c r="BL134" s="913"/>
      <c r="BM134" s="903"/>
    </row>
    <row r="135" spans="1:65" s="371" customFormat="1" ht="28.8" x14ac:dyDescent="0.3">
      <c r="A135" s="949">
        <v>376</v>
      </c>
      <c r="B135" s="1017">
        <v>376</v>
      </c>
      <c r="C135" s="948">
        <v>376</v>
      </c>
      <c r="D135" s="998" t="s">
        <v>108</v>
      </c>
      <c r="E135" s="998"/>
      <c r="F135" s="965">
        <v>0</v>
      </c>
      <c r="G135" s="966">
        <v>0</v>
      </c>
      <c r="H135" s="966">
        <v>0</v>
      </c>
      <c r="I135" s="966">
        <v>0</v>
      </c>
      <c r="J135" s="966">
        <v>-3372338</v>
      </c>
      <c r="K135" s="966">
        <v>0</v>
      </c>
      <c r="L135" s="967">
        <v>0</v>
      </c>
      <c r="M135" s="968">
        <v>0</v>
      </c>
      <c r="N135" s="968">
        <v>0</v>
      </c>
      <c r="O135" s="969">
        <v>0</v>
      </c>
      <c r="P135" s="969">
        <v>0</v>
      </c>
      <c r="Q135" s="969">
        <v>0</v>
      </c>
      <c r="R135" s="969">
        <v>0</v>
      </c>
      <c r="S135" s="969">
        <v>0</v>
      </c>
      <c r="T135" s="969">
        <v>0</v>
      </c>
      <c r="U135" s="969">
        <v>0</v>
      </c>
      <c r="V135" s="969">
        <v>0</v>
      </c>
      <c r="W135" s="969">
        <v>0</v>
      </c>
      <c r="X135" s="969">
        <v>0</v>
      </c>
      <c r="Y135" s="969">
        <v>0</v>
      </c>
      <c r="Z135" s="969">
        <v>0</v>
      </c>
      <c r="AA135" s="969">
        <v>0</v>
      </c>
      <c r="AB135" s="969">
        <v>0</v>
      </c>
      <c r="AC135" s="969">
        <v>-180</v>
      </c>
      <c r="AD135" s="968">
        <v>0</v>
      </c>
      <c r="AE135" s="968">
        <v>0</v>
      </c>
      <c r="AF135" s="968">
        <v>0</v>
      </c>
      <c r="AG135" s="968">
        <v>0</v>
      </c>
      <c r="AH135" s="968">
        <v>0</v>
      </c>
      <c r="AI135" s="968">
        <v>0</v>
      </c>
      <c r="AJ135" s="968">
        <v>0</v>
      </c>
      <c r="AK135" s="968">
        <v>0</v>
      </c>
      <c r="AL135" s="968">
        <v>608462</v>
      </c>
      <c r="AM135" s="968">
        <v>0</v>
      </c>
      <c r="AN135" s="968">
        <v>0</v>
      </c>
      <c r="AO135" s="968">
        <v>0</v>
      </c>
      <c r="AP135" s="968">
        <v>0</v>
      </c>
      <c r="AQ135" s="968">
        <v>0</v>
      </c>
      <c r="AR135" s="968">
        <v>0</v>
      </c>
      <c r="AS135" s="968">
        <v>0</v>
      </c>
      <c r="AT135" s="968">
        <v>0</v>
      </c>
      <c r="AU135" s="968">
        <v>0</v>
      </c>
      <c r="AV135" s="968">
        <v>0</v>
      </c>
      <c r="AW135" s="968">
        <v>0</v>
      </c>
      <c r="AX135" s="968">
        <v>0</v>
      </c>
      <c r="AY135" s="968">
        <v>0</v>
      </c>
      <c r="AZ135" s="968">
        <v>0</v>
      </c>
      <c r="BA135" s="968">
        <v>2</v>
      </c>
      <c r="BB135" s="968">
        <v>0</v>
      </c>
      <c r="BC135" s="968">
        <v>-5475169</v>
      </c>
      <c r="BD135" s="968">
        <v>0</v>
      </c>
      <c r="BE135" s="968">
        <v>0</v>
      </c>
      <c r="BF135" s="968">
        <v>0</v>
      </c>
      <c r="BG135" s="968">
        <v>0</v>
      </c>
      <c r="BH135" s="968">
        <v>0</v>
      </c>
      <c r="BI135" s="968">
        <v>0</v>
      </c>
      <c r="BJ135" s="968">
        <v>0</v>
      </c>
      <c r="BK135" s="947"/>
      <c r="BL135" s="913"/>
      <c r="BM135" s="903"/>
    </row>
    <row r="136" spans="1:65" s="371" customFormat="1" x14ac:dyDescent="0.3">
      <c r="A136" s="949">
        <v>377</v>
      </c>
      <c r="B136" s="1017"/>
      <c r="C136" s="948">
        <v>377</v>
      </c>
      <c r="D136" s="998" t="e">
        <v>#VALUE!</v>
      </c>
      <c r="E136" s="998"/>
      <c r="F136" s="965"/>
      <c r="G136" s="966"/>
      <c r="H136" s="966"/>
      <c r="I136" s="966"/>
      <c r="J136" s="966"/>
      <c r="K136" s="966"/>
      <c r="L136" s="967"/>
      <c r="M136" s="968"/>
      <c r="N136" s="968"/>
      <c r="O136" s="969"/>
      <c r="P136" s="969"/>
      <c r="Q136" s="969"/>
      <c r="R136" s="969"/>
      <c r="S136" s="969"/>
      <c r="T136" s="969"/>
      <c r="U136" s="969"/>
      <c r="V136" s="969"/>
      <c r="W136" s="969"/>
      <c r="X136" s="969"/>
      <c r="Y136" s="969"/>
      <c r="Z136" s="969"/>
      <c r="AA136" s="969"/>
      <c r="AB136" s="969"/>
      <c r="AC136" s="969"/>
      <c r="AD136" s="968"/>
      <c r="AE136" s="968"/>
      <c r="AF136" s="968"/>
      <c r="AG136" s="968"/>
      <c r="AH136" s="968"/>
      <c r="AI136" s="968"/>
      <c r="AJ136" s="968"/>
      <c r="AK136" s="968"/>
      <c r="AL136" s="968"/>
      <c r="AM136" s="968"/>
      <c r="AN136" s="968"/>
      <c r="AO136" s="968"/>
      <c r="AP136" s="968"/>
      <c r="AQ136" s="968"/>
      <c r="AR136" s="968"/>
      <c r="AS136" s="968"/>
      <c r="AT136" s="968"/>
      <c r="AU136" s="968"/>
      <c r="AV136" s="968"/>
      <c r="AW136" s="968"/>
      <c r="AX136" s="968"/>
      <c r="AY136" s="968"/>
      <c r="AZ136" s="968"/>
      <c r="BA136" s="968"/>
      <c r="BB136" s="968"/>
      <c r="BC136" s="968"/>
      <c r="BD136" s="968"/>
      <c r="BE136" s="968"/>
      <c r="BF136" s="968"/>
      <c r="BG136" s="968"/>
      <c r="BH136" s="968"/>
      <c r="BI136" s="968"/>
      <c r="BJ136" s="968"/>
      <c r="BK136" s="947"/>
      <c r="BL136" s="913"/>
      <c r="BM136" s="913"/>
    </row>
    <row r="137" spans="1:65" s="371" customFormat="1" ht="28.8" x14ac:dyDescent="0.3">
      <c r="A137" s="949">
        <v>378</v>
      </c>
      <c r="B137" s="1017"/>
      <c r="C137" s="948">
        <v>378</v>
      </c>
      <c r="D137" s="953" t="s">
        <v>1157</v>
      </c>
      <c r="E137" s="953"/>
      <c r="F137" s="965"/>
      <c r="G137" s="966"/>
      <c r="H137" s="966"/>
      <c r="I137" s="966"/>
      <c r="J137" s="966"/>
      <c r="K137" s="966"/>
      <c r="L137" s="967"/>
      <c r="M137" s="968"/>
      <c r="N137" s="968"/>
      <c r="O137" s="969"/>
      <c r="P137" s="969"/>
      <c r="Q137" s="969"/>
      <c r="R137" s="969"/>
      <c r="S137" s="969"/>
      <c r="T137" s="969"/>
      <c r="U137" s="969"/>
      <c r="V137" s="969"/>
      <c r="W137" s="969"/>
      <c r="X137" s="969"/>
      <c r="Y137" s="969"/>
      <c r="Z137" s="969"/>
      <c r="AA137" s="969"/>
      <c r="AB137" s="969"/>
      <c r="AC137" s="969"/>
      <c r="AD137" s="968"/>
      <c r="AE137" s="968"/>
      <c r="AF137" s="968"/>
      <c r="AG137" s="968"/>
      <c r="AH137" s="968"/>
      <c r="AI137" s="968"/>
      <c r="AJ137" s="968"/>
      <c r="AK137" s="968"/>
      <c r="AL137" s="968"/>
      <c r="AM137" s="968"/>
      <c r="AN137" s="968"/>
      <c r="AO137" s="968"/>
      <c r="AP137" s="968"/>
      <c r="AQ137" s="968"/>
      <c r="AR137" s="968"/>
      <c r="AS137" s="968"/>
      <c r="AT137" s="968"/>
      <c r="AU137" s="968"/>
      <c r="AV137" s="968"/>
      <c r="AW137" s="968"/>
      <c r="AX137" s="968"/>
      <c r="AY137" s="968"/>
      <c r="AZ137" s="968"/>
      <c r="BA137" s="968"/>
      <c r="BB137" s="968"/>
      <c r="BC137" s="968"/>
      <c r="BD137" s="968"/>
      <c r="BE137" s="968"/>
      <c r="BF137" s="968"/>
      <c r="BG137" s="968"/>
      <c r="BH137" s="968"/>
      <c r="BI137" s="968"/>
      <c r="BJ137" s="968"/>
      <c r="BK137" s="947"/>
      <c r="BL137" s="913"/>
      <c r="BM137" s="913"/>
    </row>
    <row r="138" spans="1:65" s="371" customFormat="1" ht="28.8" x14ac:dyDescent="0.3">
      <c r="A138" s="949">
        <v>379</v>
      </c>
      <c r="B138" s="1017">
        <v>379</v>
      </c>
      <c r="C138" s="948">
        <v>379</v>
      </c>
      <c r="D138" s="998" t="s">
        <v>118</v>
      </c>
      <c r="E138" s="998"/>
      <c r="F138" s="965">
        <v>525946</v>
      </c>
      <c r="G138" s="966">
        <v>4945897</v>
      </c>
      <c r="H138" s="966">
        <v>3430939</v>
      </c>
      <c r="I138" s="966">
        <v>1667873</v>
      </c>
      <c r="J138" s="966">
        <v>3314450</v>
      </c>
      <c r="K138" s="966">
        <v>1568578</v>
      </c>
      <c r="L138" s="967">
        <v>893507</v>
      </c>
      <c r="M138" s="968">
        <v>3250664</v>
      </c>
      <c r="N138" s="968">
        <v>6380867</v>
      </c>
      <c r="O138" s="969">
        <v>1081407</v>
      </c>
      <c r="P138" s="969">
        <v>3236774</v>
      </c>
      <c r="Q138" s="969">
        <v>4500188</v>
      </c>
      <c r="R138" s="969">
        <v>2713069</v>
      </c>
      <c r="S138" s="969">
        <v>1508092</v>
      </c>
      <c r="T138" s="969">
        <v>0</v>
      </c>
      <c r="U138" s="969">
        <v>7323374</v>
      </c>
      <c r="V138" s="969">
        <v>35832481</v>
      </c>
      <c r="W138" s="969">
        <v>2802108</v>
      </c>
      <c r="X138" s="969">
        <v>1067404</v>
      </c>
      <c r="Y138" s="969">
        <v>19290238</v>
      </c>
      <c r="Z138" s="969">
        <v>8099065</v>
      </c>
      <c r="AA138" s="969">
        <v>480079</v>
      </c>
      <c r="AB138" s="969">
        <v>4568313</v>
      </c>
      <c r="AC138" s="969">
        <v>442296</v>
      </c>
      <c r="AD138" s="968">
        <v>1852713</v>
      </c>
      <c r="AE138" s="968">
        <v>10757195</v>
      </c>
      <c r="AF138" s="968">
        <v>787956</v>
      </c>
      <c r="AG138" s="968">
        <v>8848647</v>
      </c>
      <c r="AH138" s="968">
        <v>3661729</v>
      </c>
      <c r="AI138" s="968">
        <v>1672985</v>
      </c>
      <c r="AJ138" s="968">
        <v>9027837</v>
      </c>
      <c r="AK138" s="968">
        <v>17154894</v>
      </c>
      <c r="AL138" s="968">
        <v>8114448</v>
      </c>
      <c r="AM138" s="968">
        <v>4904782</v>
      </c>
      <c r="AN138" s="968">
        <v>5363960</v>
      </c>
      <c r="AO138" s="968">
        <v>3621860</v>
      </c>
      <c r="AP138" s="968">
        <v>911291</v>
      </c>
      <c r="AQ138" s="968">
        <v>1295589</v>
      </c>
      <c r="AR138" s="968">
        <v>3510158</v>
      </c>
      <c r="AS138" s="968">
        <v>58403</v>
      </c>
      <c r="AT138" s="968">
        <v>186438</v>
      </c>
      <c r="AU138" s="968">
        <v>1341503</v>
      </c>
      <c r="AV138" s="968">
        <v>354988</v>
      </c>
      <c r="AW138" s="968">
        <v>6433372</v>
      </c>
      <c r="AX138" s="968">
        <v>1377309</v>
      </c>
      <c r="AY138" s="968">
        <v>111380968</v>
      </c>
      <c r="AZ138" s="968">
        <v>1093879</v>
      </c>
      <c r="BA138" s="968">
        <v>1090161</v>
      </c>
      <c r="BB138" s="968">
        <v>4621499</v>
      </c>
      <c r="BC138" s="968">
        <v>1543771</v>
      </c>
      <c r="BD138" s="968">
        <v>964280</v>
      </c>
      <c r="BE138" s="968">
        <v>1575149</v>
      </c>
      <c r="BF138" s="968">
        <v>10626821</v>
      </c>
      <c r="BG138" s="968">
        <v>8922525</v>
      </c>
      <c r="BH138" s="968">
        <v>15062515</v>
      </c>
      <c r="BI138" s="968">
        <v>1795555</v>
      </c>
      <c r="BJ138" s="968">
        <v>1449705</v>
      </c>
      <c r="BK138" s="947"/>
      <c r="BL138" s="913"/>
      <c r="BM138" s="903"/>
    </row>
    <row r="139" spans="1:65" s="371" customFormat="1" ht="28.8" x14ac:dyDescent="0.3">
      <c r="A139" s="949">
        <v>380</v>
      </c>
      <c r="B139" s="1017">
        <v>380</v>
      </c>
      <c r="C139" s="948">
        <v>380</v>
      </c>
      <c r="D139" s="998" t="s">
        <v>121</v>
      </c>
      <c r="E139" s="998"/>
      <c r="F139" s="965">
        <v>0</v>
      </c>
      <c r="G139" s="966">
        <v>0</v>
      </c>
      <c r="H139" s="966">
        <v>44446</v>
      </c>
      <c r="I139" s="966">
        <v>0</v>
      </c>
      <c r="J139" s="966">
        <v>0</v>
      </c>
      <c r="K139" s="966">
        <v>0</v>
      </c>
      <c r="L139" s="967">
        <v>0</v>
      </c>
      <c r="M139" s="968">
        <v>0</v>
      </c>
      <c r="N139" s="968">
        <v>0</v>
      </c>
      <c r="O139" s="969">
        <v>0</v>
      </c>
      <c r="P139" s="969">
        <v>0</v>
      </c>
      <c r="Q139" s="969">
        <v>0</v>
      </c>
      <c r="R139" s="969">
        <v>43075</v>
      </c>
      <c r="S139" s="969">
        <v>0</v>
      </c>
      <c r="T139" s="969">
        <v>0</v>
      </c>
      <c r="U139" s="969">
        <v>0</v>
      </c>
      <c r="V139" s="969">
        <v>0</v>
      </c>
      <c r="W139" s="969">
        <v>0</v>
      </c>
      <c r="X139" s="969">
        <v>0</v>
      </c>
      <c r="Y139" s="969">
        <v>0</v>
      </c>
      <c r="Z139" s="969">
        <v>0</v>
      </c>
      <c r="AA139" s="969">
        <v>0</v>
      </c>
      <c r="AB139" s="969">
        <v>0</v>
      </c>
      <c r="AC139" s="969">
        <v>0</v>
      </c>
      <c r="AD139" s="968">
        <v>0</v>
      </c>
      <c r="AE139" s="968">
        <v>0</v>
      </c>
      <c r="AF139" s="968">
        <v>0</v>
      </c>
      <c r="AG139" s="968">
        <v>38497</v>
      </c>
      <c r="AH139" s="968">
        <v>0</v>
      </c>
      <c r="AI139" s="968">
        <v>0</v>
      </c>
      <c r="AJ139" s="968">
        <v>0</v>
      </c>
      <c r="AK139" s="968">
        <v>0</v>
      </c>
      <c r="AL139" s="968">
        <v>0</v>
      </c>
      <c r="AM139" s="968">
        <v>0</v>
      </c>
      <c r="AN139" s="968">
        <v>0</v>
      </c>
      <c r="AO139" s="968">
        <v>0</v>
      </c>
      <c r="AP139" s="968">
        <v>0</v>
      </c>
      <c r="AQ139" s="968">
        <v>0</v>
      </c>
      <c r="AR139" s="968">
        <v>0</v>
      </c>
      <c r="AS139" s="968">
        <v>0</v>
      </c>
      <c r="AT139" s="968">
        <v>0</v>
      </c>
      <c r="AU139" s="968">
        <v>0</v>
      </c>
      <c r="AV139" s="968">
        <v>0</v>
      </c>
      <c r="AW139" s="968">
        <v>0</v>
      </c>
      <c r="AX139" s="968">
        <v>0</v>
      </c>
      <c r="AY139" s="968">
        <v>0</v>
      </c>
      <c r="AZ139" s="968">
        <v>0</v>
      </c>
      <c r="BA139" s="968">
        <v>16488</v>
      </c>
      <c r="BB139" s="968">
        <v>0</v>
      </c>
      <c r="BC139" s="968">
        <v>0</v>
      </c>
      <c r="BD139" s="968">
        <v>0</v>
      </c>
      <c r="BE139" s="968">
        <v>0</v>
      </c>
      <c r="BF139" s="968">
        <v>0</v>
      </c>
      <c r="BG139" s="968">
        <v>0</v>
      </c>
      <c r="BH139" s="968">
        <v>0</v>
      </c>
      <c r="BI139" s="968">
        <v>0</v>
      </c>
      <c r="BJ139" s="968">
        <v>0</v>
      </c>
      <c r="BK139" s="947"/>
      <c r="BL139" s="913"/>
      <c r="BM139" s="903"/>
    </row>
    <row r="140" spans="1:65" s="371" customFormat="1" x14ac:dyDescent="0.3">
      <c r="A140" s="949">
        <v>381</v>
      </c>
      <c r="B140" s="1017"/>
      <c r="C140" s="948">
        <v>381</v>
      </c>
      <c r="D140" s="998" t="e">
        <v>#VALUE!</v>
      </c>
      <c r="E140" s="998"/>
      <c r="F140" s="965"/>
      <c r="G140" s="966"/>
      <c r="H140" s="966"/>
      <c r="I140" s="966"/>
      <c r="J140" s="966"/>
      <c r="K140" s="966"/>
      <c r="L140" s="967"/>
      <c r="M140" s="968"/>
      <c r="N140" s="968"/>
      <c r="O140" s="969"/>
      <c r="P140" s="969"/>
      <c r="Q140" s="969"/>
      <c r="R140" s="969"/>
      <c r="S140" s="969"/>
      <c r="T140" s="969"/>
      <c r="U140" s="969"/>
      <c r="V140" s="969"/>
      <c r="W140" s="969"/>
      <c r="X140" s="969"/>
      <c r="Y140" s="969"/>
      <c r="Z140" s="969"/>
      <c r="AA140" s="969"/>
      <c r="AB140" s="969"/>
      <c r="AC140" s="969"/>
      <c r="AD140" s="968"/>
      <c r="AE140" s="968"/>
      <c r="AF140" s="968"/>
      <c r="AG140" s="968"/>
      <c r="AH140" s="968"/>
      <c r="AI140" s="968"/>
      <c r="AJ140" s="968"/>
      <c r="AK140" s="968"/>
      <c r="AL140" s="968"/>
      <c r="AM140" s="968"/>
      <c r="AN140" s="968"/>
      <c r="AO140" s="968"/>
      <c r="AP140" s="968"/>
      <c r="AQ140" s="968"/>
      <c r="AR140" s="968"/>
      <c r="AS140" s="968"/>
      <c r="AT140" s="968"/>
      <c r="AU140" s="968"/>
      <c r="AV140" s="968"/>
      <c r="AW140" s="968"/>
      <c r="AX140" s="968"/>
      <c r="AY140" s="968"/>
      <c r="AZ140" s="968"/>
      <c r="BA140" s="968"/>
      <c r="BB140" s="968"/>
      <c r="BC140" s="968"/>
      <c r="BD140" s="968"/>
      <c r="BE140" s="968"/>
      <c r="BF140" s="968"/>
      <c r="BG140" s="968"/>
      <c r="BH140" s="968"/>
      <c r="BI140" s="968"/>
      <c r="BJ140" s="968"/>
      <c r="BK140" s="947"/>
      <c r="BL140" s="913"/>
      <c r="BM140" s="903"/>
    </row>
    <row r="141" spans="1:65" s="371" customFormat="1" x14ac:dyDescent="0.3">
      <c r="A141" s="949">
        <v>382</v>
      </c>
      <c r="B141" s="1017"/>
      <c r="C141" s="948">
        <v>382</v>
      </c>
      <c r="D141" s="953" t="s">
        <v>1063</v>
      </c>
      <c r="E141" s="953"/>
      <c r="F141" s="965"/>
      <c r="G141" s="966"/>
      <c r="H141" s="966"/>
      <c r="I141" s="966"/>
      <c r="J141" s="966"/>
      <c r="K141" s="966"/>
      <c r="L141" s="967"/>
      <c r="M141" s="968"/>
      <c r="N141" s="968"/>
      <c r="O141" s="969"/>
      <c r="P141" s="969"/>
      <c r="Q141" s="969"/>
      <c r="R141" s="969"/>
      <c r="S141" s="969"/>
      <c r="T141" s="969"/>
      <c r="U141" s="969"/>
      <c r="V141" s="969"/>
      <c r="W141" s="969"/>
      <c r="X141" s="969"/>
      <c r="Y141" s="969"/>
      <c r="Z141" s="969"/>
      <c r="AA141" s="969"/>
      <c r="AB141" s="969"/>
      <c r="AC141" s="969"/>
      <c r="AD141" s="968"/>
      <c r="AE141" s="968"/>
      <c r="AF141" s="968"/>
      <c r="AG141" s="968"/>
      <c r="AH141" s="968"/>
      <c r="AI141" s="968"/>
      <c r="AJ141" s="968"/>
      <c r="AK141" s="968"/>
      <c r="AL141" s="968"/>
      <c r="AM141" s="968"/>
      <c r="AN141" s="968"/>
      <c r="AO141" s="968"/>
      <c r="AP141" s="968"/>
      <c r="AQ141" s="968"/>
      <c r="AR141" s="968"/>
      <c r="AS141" s="968"/>
      <c r="AT141" s="968"/>
      <c r="AU141" s="968"/>
      <c r="AV141" s="968"/>
      <c r="AW141" s="968"/>
      <c r="AX141" s="968"/>
      <c r="AY141" s="968"/>
      <c r="AZ141" s="968"/>
      <c r="BA141" s="968"/>
      <c r="BB141" s="968"/>
      <c r="BC141" s="968"/>
      <c r="BD141" s="968"/>
      <c r="BE141" s="968"/>
      <c r="BF141" s="968"/>
      <c r="BG141" s="968"/>
      <c r="BH141" s="968"/>
      <c r="BI141" s="968"/>
      <c r="BJ141" s="968"/>
      <c r="BK141" s="947"/>
      <c r="BL141" s="913"/>
      <c r="BM141" s="903"/>
    </row>
    <row r="142" spans="1:65" s="371" customFormat="1" x14ac:dyDescent="0.3">
      <c r="A142" s="949">
        <v>383</v>
      </c>
      <c r="B142" s="1017"/>
      <c r="C142" s="948">
        <v>383</v>
      </c>
      <c r="D142" s="998" t="e">
        <v>#VALUE!</v>
      </c>
      <c r="E142" s="998"/>
      <c r="F142" s="965"/>
      <c r="G142" s="966"/>
      <c r="H142" s="966"/>
      <c r="I142" s="966"/>
      <c r="J142" s="966"/>
      <c r="K142" s="966"/>
      <c r="L142" s="967"/>
      <c r="M142" s="968"/>
      <c r="N142" s="968"/>
      <c r="O142" s="969"/>
      <c r="P142" s="969"/>
      <c r="Q142" s="969"/>
      <c r="R142" s="969"/>
      <c r="S142" s="969"/>
      <c r="T142" s="969"/>
      <c r="U142" s="969"/>
      <c r="V142" s="969"/>
      <c r="W142" s="969"/>
      <c r="X142" s="969"/>
      <c r="Y142" s="969"/>
      <c r="Z142" s="969"/>
      <c r="AA142" s="969"/>
      <c r="AB142" s="969"/>
      <c r="AC142" s="969"/>
      <c r="AD142" s="968"/>
      <c r="AE142" s="968"/>
      <c r="AF142" s="968"/>
      <c r="AG142" s="968"/>
      <c r="AH142" s="968"/>
      <c r="AI142" s="968"/>
      <c r="AJ142" s="968"/>
      <c r="AK142" s="968"/>
      <c r="AL142" s="968"/>
      <c r="AM142" s="968"/>
      <c r="AN142" s="968"/>
      <c r="AO142" s="968"/>
      <c r="AP142" s="968"/>
      <c r="AQ142" s="968"/>
      <c r="AR142" s="968"/>
      <c r="AS142" s="968"/>
      <c r="AT142" s="968"/>
      <c r="AU142" s="968"/>
      <c r="AV142" s="968"/>
      <c r="AW142" s="968"/>
      <c r="AX142" s="968"/>
      <c r="AY142" s="968"/>
      <c r="AZ142" s="968"/>
      <c r="BA142" s="968"/>
      <c r="BB142" s="968"/>
      <c r="BC142" s="968"/>
      <c r="BD142" s="968"/>
      <c r="BE142" s="968"/>
      <c r="BF142" s="968"/>
      <c r="BG142" s="968"/>
      <c r="BH142" s="968"/>
      <c r="BI142" s="968"/>
      <c r="BJ142" s="968"/>
      <c r="BK142" s="947"/>
      <c r="BL142" s="913"/>
      <c r="BM142" s="903"/>
    </row>
    <row r="143" spans="1:65" s="371" customFormat="1" ht="28.8" x14ac:dyDescent="0.3">
      <c r="A143" s="949">
        <v>384</v>
      </c>
      <c r="B143" s="1017"/>
      <c r="C143" s="948">
        <v>384</v>
      </c>
      <c r="D143" s="953" t="s">
        <v>124</v>
      </c>
      <c r="E143" s="953"/>
      <c r="F143" s="965"/>
      <c r="G143" s="966"/>
      <c r="H143" s="966"/>
      <c r="I143" s="966"/>
      <c r="J143" s="966"/>
      <c r="K143" s="966"/>
      <c r="L143" s="967"/>
      <c r="M143" s="968"/>
      <c r="N143" s="968"/>
      <c r="O143" s="969"/>
      <c r="P143" s="969"/>
      <c r="Q143" s="969"/>
      <c r="R143" s="969"/>
      <c r="S143" s="969"/>
      <c r="T143" s="969"/>
      <c r="U143" s="969"/>
      <c r="V143" s="969"/>
      <c r="W143" s="969"/>
      <c r="X143" s="969"/>
      <c r="Y143" s="969"/>
      <c r="Z143" s="969"/>
      <c r="AA143" s="969"/>
      <c r="AB143" s="969"/>
      <c r="AC143" s="969"/>
      <c r="AD143" s="968"/>
      <c r="AE143" s="968"/>
      <c r="AF143" s="968"/>
      <c r="AG143" s="968"/>
      <c r="AH143" s="968"/>
      <c r="AI143" s="968"/>
      <c r="AJ143" s="968"/>
      <c r="AK143" s="968"/>
      <c r="AL143" s="968"/>
      <c r="AM143" s="968"/>
      <c r="AN143" s="968"/>
      <c r="AO143" s="968"/>
      <c r="AP143" s="968"/>
      <c r="AQ143" s="968"/>
      <c r="AR143" s="968"/>
      <c r="AS143" s="968"/>
      <c r="AT143" s="968"/>
      <c r="AU143" s="968"/>
      <c r="AV143" s="968"/>
      <c r="AW143" s="968"/>
      <c r="AX143" s="968"/>
      <c r="AY143" s="968"/>
      <c r="AZ143" s="968"/>
      <c r="BA143" s="968"/>
      <c r="BB143" s="968"/>
      <c r="BC143" s="968"/>
      <c r="BD143" s="968"/>
      <c r="BE143" s="968"/>
      <c r="BF143" s="968"/>
      <c r="BG143" s="968"/>
      <c r="BH143" s="968"/>
      <c r="BI143" s="968"/>
      <c r="BJ143" s="968"/>
      <c r="BK143" s="947"/>
      <c r="BL143" s="913"/>
      <c r="BM143" s="903"/>
    </row>
    <row r="144" spans="1:65" s="371" customFormat="1" ht="28.8" x14ac:dyDescent="0.3">
      <c r="A144" s="949">
        <v>385</v>
      </c>
      <c r="B144" s="1017">
        <v>385</v>
      </c>
      <c r="C144" s="948">
        <v>385</v>
      </c>
      <c r="D144" s="998" t="s">
        <v>115</v>
      </c>
      <c r="E144" s="998"/>
      <c r="F144" s="965">
        <v>96435492</v>
      </c>
      <c r="G144" s="966">
        <v>154701536</v>
      </c>
      <c r="H144" s="966">
        <v>106600502</v>
      </c>
      <c r="I144" s="966">
        <v>33938843</v>
      </c>
      <c r="J144" s="966">
        <v>143069640</v>
      </c>
      <c r="K144" s="966">
        <v>81996222</v>
      </c>
      <c r="L144" s="967">
        <v>42629025</v>
      </c>
      <c r="M144" s="968">
        <v>43475377</v>
      </c>
      <c r="N144" s="968">
        <v>101176233</v>
      </c>
      <c r="O144" s="969">
        <v>29952935</v>
      </c>
      <c r="P144" s="969">
        <v>51611476</v>
      </c>
      <c r="Q144" s="969">
        <v>247448541</v>
      </c>
      <c r="R144" s="969">
        <v>82459204</v>
      </c>
      <c r="S144" s="969">
        <v>36082265</v>
      </c>
      <c r="T144" s="969">
        <v>0</v>
      </c>
      <c r="U144" s="969">
        <v>199941554</v>
      </c>
      <c r="V144" s="969">
        <v>437916512</v>
      </c>
      <c r="W144" s="969">
        <v>62700355</v>
      </c>
      <c r="X144" s="969">
        <v>29861723</v>
      </c>
      <c r="Y144" s="969">
        <v>385778955</v>
      </c>
      <c r="Z144" s="969">
        <v>123386363</v>
      </c>
      <c r="AA144" s="969">
        <v>12699040</v>
      </c>
      <c r="AB144" s="969">
        <v>213918644</v>
      </c>
      <c r="AC144" s="969">
        <v>29602120</v>
      </c>
      <c r="AD144" s="968">
        <v>39891166</v>
      </c>
      <c r="AE144" s="968">
        <v>287396396</v>
      </c>
      <c r="AF144" s="968">
        <v>23923696</v>
      </c>
      <c r="AG144" s="968">
        <v>207364115</v>
      </c>
      <c r="AH144" s="968">
        <v>78250114</v>
      </c>
      <c r="AI144" s="968">
        <v>44427001</v>
      </c>
      <c r="AJ144" s="968">
        <v>208289072</v>
      </c>
      <c r="AK144" s="968">
        <v>126601474</v>
      </c>
      <c r="AL144" s="968">
        <v>207034100</v>
      </c>
      <c r="AM144" s="968">
        <v>116570060</v>
      </c>
      <c r="AN144" s="968">
        <v>128627354</v>
      </c>
      <c r="AO144" s="968">
        <v>88563420</v>
      </c>
      <c r="AP144" s="968">
        <v>78061233</v>
      </c>
      <c r="AQ144" s="968">
        <v>94973674</v>
      </c>
      <c r="AR144" s="968">
        <v>114805353</v>
      </c>
      <c r="AS144" s="968">
        <v>37551848</v>
      </c>
      <c r="AT144" s="968">
        <v>27116471</v>
      </c>
      <c r="AU144" s="968">
        <v>52506826</v>
      </c>
      <c r="AV144" s="968">
        <v>10062575</v>
      </c>
      <c r="AW144" s="968">
        <v>799896688</v>
      </c>
      <c r="AX144" s="968">
        <v>59044211</v>
      </c>
      <c r="AY144" s="968">
        <v>4433382683</v>
      </c>
      <c r="AZ144" s="968">
        <v>21449781</v>
      </c>
      <c r="BA144" s="968">
        <v>20586576</v>
      </c>
      <c r="BB144" s="968">
        <v>41077590</v>
      </c>
      <c r="BC144" s="968">
        <v>151196285</v>
      </c>
      <c r="BD144" s="968">
        <v>7859259</v>
      </c>
      <c r="BE144" s="968">
        <v>21101586</v>
      </c>
      <c r="BF144" s="968">
        <v>106509363</v>
      </c>
      <c r="BG144" s="968">
        <v>118502020</v>
      </c>
      <c r="BH144" s="968">
        <v>874593164</v>
      </c>
      <c r="BI144" s="968">
        <v>58850688</v>
      </c>
      <c r="BJ144" s="968">
        <v>36704727</v>
      </c>
      <c r="BK144" s="947"/>
      <c r="BL144" s="913"/>
      <c r="BM144" s="903"/>
    </row>
    <row r="145" spans="1:64" s="371" customFormat="1" x14ac:dyDescent="0.3">
      <c r="A145" s="949">
        <v>386</v>
      </c>
      <c r="B145" s="1017">
        <v>386</v>
      </c>
      <c r="C145" s="948">
        <v>386</v>
      </c>
      <c r="D145" s="998" t="s">
        <v>193</v>
      </c>
      <c r="E145" s="998"/>
      <c r="F145" s="965">
        <v>0</v>
      </c>
      <c r="G145" s="966">
        <v>0</v>
      </c>
      <c r="H145" s="966">
        <v>0</v>
      </c>
      <c r="I145" s="966">
        <v>0</v>
      </c>
      <c r="J145" s="966">
        <v>0</v>
      </c>
      <c r="K145" s="966">
        <v>0</v>
      </c>
      <c r="L145" s="967">
        <v>0</v>
      </c>
      <c r="M145" s="968">
        <v>0</v>
      </c>
      <c r="N145" s="968">
        <v>0</v>
      </c>
      <c r="O145" s="969">
        <v>0</v>
      </c>
      <c r="P145" s="969">
        <v>0</v>
      </c>
      <c r="Q145" s="969">
        <v>4532</v>
      </c>
      <c r="R145" s="969">
        <v>0</v>
      </c>
      <c r="S145" s="969">
        <v>0</v>
      </c>
      <c r="T145" s="969">
        <v>0</v>
      </c>
      <c r="U145" s="969">
        <v>0</v>
      </c>
      <c r="V145" s="969">
        <v>67090</v>
      </c>
      <c r="W145" s="969">
        <v>0</v>
      </c>
      <c r="X145" s="969">
        <v>0</v>
      </c>
      <c r="Y145" s="969">
        <v>0</v>
      </c>
      <c r="Z145" s="969">
        <v>0</v>
      </c>
      <c r="AA145" s="969">
        <v>0</v>
      </c>
      <c r="AB145" s="969">
        <v>0</v>
      </c>
      <c r="AC145" s="969">
        <v>0</v>
      </c>
      <c r="AD145" s="968">
        <v>0</v>
      </c>
      <c r="AE145" s="968">
        <v>0</v>
      </c>
      <c r="AF145" s="968">
        <v>0</v>
      </c>
      <c r="AG145" s="968">
        <v>0</v>
      </c>
      <c r="AH145" s="968">
        <v>0</v>
      </c>
      <c r="AI145" s="968">
        <v>0</v>
      </c>
      <c r="AJ145" s="968">
        <v>0</v>
      </c>
      <c r="AK145" s="968">
        <v>0</v>
      </c>
      <c r="AL145" s="968">
        <v>0</v>
      </c>
      <c r="AM145" s="968">
        <v>0</v>
      </c>
      <c r="AN145" s="968">
        <v>0</v>
      </c>
      <c r="AO145" s="968">
        <v>0</v>
      </c>
      <c r="AP145" s="968">
        <v>0</v>
      </c>
      <c r="AQ145" s="968">
        <v>0</v>
      </c>
      <c r="AR145" s="968">
        <v>0</v>
      </c>
      <c r="AS145" s="968">
        <v>0</v>
      </c>
      <c r="AT145" s="968">
        <v>0</v>
      </c>
      <c r="AU145" s="968">
        <v>0</v>
      </c>
      <c r="AV145" s="968">
        <v>0</v>
      </c>
      <c r="AW145" s="968">
        <v>0</v>
      </c>
      <c r="AX145" s="968">
        <v>0</v>
      </c>
      <c r="AY145" s="968">
        <v>0</v>
      </c>
      <c r="AZ145" s="968">
        <v>0</v>
      </c>
      <c r="BA145" s="968">
        <v>0</v>
      </c>
      <c r="BB145" s="968">
        <v>0</v>
      </c>
      <c r="BC145" s="968">
        <v>0</v>
      </c>
      <c r="BD145" s="968">
        <v>0</v>
      </c>
      <c r="BE145" s="968">
        <v>0</v>
      </c>
      <c r="BF145" s="968">
        <v>0</v>
      </c>
      <c r="BG145" s="968">
        <v>0</v>
      </c>
      <c r="BH145" s="968">
        <v>0</v>
      </c>
      <c r="BI145" s="968">
        <v>0</v>
      </c>
      <c r="BJ145" s="968">
        <v>0</v>
      </c>
      <c r="BK145" s="913"/>
      <c r="BL145" s="913"/>
    </row>
    <row r="146" spans="1:64" s="371" customFormat="1" x14ac:dyDescent="0.3">
      <c r="A146" s="949">
        <v>387</v>
      </c>
      <c r="B146" s="1017">
        <v>387</v>
      </c>
      <c r="C146" s="948">
        <v>387</v>
      </c>
      <c r="D146" s="998" t="s">
        <v>194</v>
      </c>
      <c r="E146" s="998"/>
      <c r="F146" s="965">
        <v>244658</v>
      </c>
      <c r="G146" s="966">
        <v>302292</v>
      </c>
      <c r="H146" s="966">
        <v>309316</v>
      </c>
      <c r="I146" s="966">
        <v>94451</v>
      </c>
      <c r="J146" s="966">
        <v>157078</v>
      </c>
      <c r="K146" s="966">
        <v>78900</v>
      </c>
      <c r="L146" s="967">
        <v>69361</v>
      </c>
      <c r="M146" s="968">
        <v>89700</v>
      </c>
      <c r="N146" s="968">
        <v>56135</v>
      </c>
      <c r="O146" s="969">
        <v>105347</v>
      </c>
      <c r="P146" s="969">
        <v>112775</v>
      </c>
      <c r="Q146" s="969">
        <v>0</v>
      </c>
      <c r="R146" s="969">
        <v>193396</v>
      </c>
      <c r="S146" s="969">
        <v>48374</v>
      </c>
      <c r="T146" s="969">
        <v>0</v>
      </c>
      <c r="U146" s="969">
        <v>107017</v>
      </c>
      <c r="V146" s="969">
        <v>493359</v>
      </c>
      <c r="W146" s="969">
        <v>98498</v>
      </c>
      <c r="X146" s="969">
        <v>47172</v>
      </c>
      <c r="Y146" s="969">
        <v>45000</v>
      </c>
      <c r="Z146" s="969">
        <v>258528</v>
      </c>
      <c r="AA146" s="969">
        <v>0</v>
      </c>
      <c r="AB146" s="969">
        <v>107949</v>
      </c>
      <c r="AC146" s="969">
        <v>110156</v>
      </c>
      <c r="AD146" s="968">
        <v>216351</v>
      </c>
      <c r="AE146" s="968">
        <v>365648</v>
      </c>
      <c r="AF146" s="968">
        <v>101366</v>
      </c>
      <c r="AG146" s="968">
        <v>267726</v>
      </c>
      <c r="AH146" s="968">
        <v>156599</v>
      </c>
      <c r="AI146" s="968">
        <v>159188</v>
      </c>
      <c r="AJ146" s="968">
        <v>821000</v>
      </c>
      <c r="AK146" s="968">
        <v>402868</v>
      </c>
      <c r="AL146" s="968">
        <v>577970</v>
      </c>
      <c r="AM146" s="968">
        <v>45000</v>
      </c>
      <c r="AN146" s="968">
        <v>56154</v>
      </c>
      <c r="AO146" s="968">
        <v>279583</v>
      </c>
      <c r="AP146" s="968">
        <v>102529</v>
      </c>
      <c r="AQ146" s="968">
        <v>45000</v>
      </c>
      <c r="AR146" s="968">
        <v>167749</v>
      </c>
      <c r="AS146" s="968">
        <v>61381</v>
      </c>
      <c r="AT146" s="968">
        <v>45902</v>
      </c>
      <c r="AU146" s="968">
        <v>439532</v>
      </c>
      <c r="AV146" s="968">
        <v>91057</v>
      </c>
      <c r="AW146" s="968">
        <v>1261703</v>
      </c>
      <c r="AX146" s="968">
        <v>0</v>
      </c>
      <c r="AY146" s="968">
        <v>2448756</v>
      </c>
      <c r="AZ146" s="968">
        <v>105559</v>
      </c>
      <c r="BA146" s="968">
        <v>172113</v>
      </c>
      <c r="BB146" s="968">
        <v>111993</v>
      </c>
      <c r="BC146" s="968">
        <v>37674</v>
      </c>
      <c r="BD146" s="968">
        <v>63180</v>
      </c>
      <c r="BE146" s="968">
        <v>51625</v>
      </c>
      <c r="BF146" s="968">
        <v>341921</v>
      </c>
      <c r="BG146" s="968">
        <v>426164</v>
      </c>
      <c r="BH146" s="968">
        <v>0</v>
      </c>
      <c r="BI146" s="968">
        <v>125518</v>
      </c>
      <c r="BJ146" s="968">
        <v>53191</v>
      </c>
      <c r="BK146" s="913"/>
      <c r="BL146" s="913"/>
    </row>
    <row r="147" spans="1:64" s="371" customFormat="1" x14ac:dyDescent="0.3">
      <c r="A147" s="949">
        <v>388</v>
      </c>
      <c r="B147" s="1017">
        <v>388</v>
      </c>
      <c r="C147" s="948">
        <v>388</v>
      </c>
      <c r="D147" s="998" t="s">
        <v>188</v>
      </c>
      <c r="E147" s="998"/>
      <c r="F147" s="965">
        <v>60604249</v>
      </c>
      <c r="G147" s="966">
        <v>98052394</v>
      </c>
      <c r="H147" s="966">
        <v>82223647</v>
      </c>
      <c r="I147" s="966">
        <v>33242888</v>
      </c>
      <c r="J147" s="966">
        <v>109400935</v>
      </c>
      <c r="K147" s="966">
        <v>48781910</v>
      </c>
      <c r="L147" s="967">
        <v>28244673</v>
      </c>
      <c r="M147" s="968">
        <v>36378770</v>
      </c>
      <c r="N147" s="968">
        <v>65382191</v>
      </c>
      <c r="O147" s="969">
        <v>22670299</v>
      </c>
      <c r="P147" s="969">
        <v>42220726</v>
      </c>
      <c r="Q147" s="969">
        <v>134179257</v>
      </c>
      <c r="R147" s="969">
        <v>65022229</v>
      </c>
      <c r="S147" s="969">
        <v>18922964</v>
      </c>
      <c r="T147" s="969">
        <v>0</v>
      </c>
      <c r="U147" s="969">
        <v>144870535</v>
      </c>
      <c r="V147" s="969">
        <v>300310748</v>
      </c>
      <c r="W147" s="969">
        <v>29983740</v>
      </c>
      <c r="X147" s="969">
        <v>24058694</v>
      </c>
      <c r="Y147" s="969">
        <v>268321007</v>
      </c>
      <c r="Z147" s="969">
        <v>96599906</v>
      </c>
      <c r="AA147" s="969">
        <v>19120058</v>
      </c>
      <c r="AB147" s="969">
        <v>100517065</v>
      </c>
      <c r="AC147" s="969">
        <v>19808371</v>
      </c>
      <c r="AD147" s="968">
        <v>48738731</v>
      </c>
      <c r="AE147" s="968">
        <v>241622389</v>
      </c>
      <c r="AF147" s="968">
        <v>26787119</v>
      </c>
      <c r="AG147" s="968">
        <v>150488199</v>
      </c>
      <c r="AH147" s="968">
        <v>72042398</v>
      </c>
      <c r="AI147" s="968">
        <v>28682697</v>
      </c>
      <c r="AJ147" s="968">
        <v>206902708</v>
      </c>
      <c r="AK147" s="968">
        <v>115614234</v>
      </c>
      <c r="AL147" s="968">
        <v>193226741</v>
      </c>
      <c r="AM147" s="968">
        <v>91993483</v>
      </c>
      <c r="AN147" s="968">
        <v>77759593</v>
      </c>
      <c r="AO147" s="968">
        <v>65417587</v>
      </c>
      <c r="AP147" s="968">
        <v>82905316</v>
      </c>
      <c r="AQ147" s="968">
        <v>61878915</v>
      </c>
      <c r="AR147" s="968">
        <v>75638135</v>
      </c>
      <c r="AS147" s="968">
        <v>23708543</v>
      </c>
      <c r="AT147" s="968">
        <v>25928492</v>
      </c>
      <c r="AU147" s="968">
        <v>41510151</v>
      </c>
      <c r="AV147" s="968">
        <v>9360544</v>
      </c>
      <c r="AW147" s="968">
        <v>414110898</v>
      </c>
      <c r="AX147" s="968">
        <v>60135670</v>
      </c>
      <c r="AY147" s="968">
        <v>1757724427</v>
      </c>
      <c r="AZ147" s="968">
        <v>23414718</v>
      </c>
      <c r="BA147" s="968">
        <v>17059022</v>
      </c>
      <c r="BB147" s="968">
        <v>54928161</v>
      </c>
      <c r="BC147" s="968">
        <v>183689150</v>
      </c>
      <c r="BD147" s="968">
        <v>10815477</v>
      </c>
      <c r="BE147" s="968">
        <v>22650589</v>
      </c>
      <c r="BF147" s="968">
        <v>91899044</v>
      </c>
      <c r="BG147" s="968">
        <v>106224938</v>
      </c>
      <c r="BH147" s="968">
        <v>580483923</v>
      </c>
      <c r="BI147" s="968">
        <v>50781035</v>
      </c>
      <c r="BJ147" s="968">
        <v>24163999</v>
      </c>
      <c r="BK147" s="913"/>
      <c r="BL147" s="913"/>
    </row>
    <row r="148" spans="1:64" s="371" customFormat="1" x14ac:dyDescent="0.3">
      <c r="A148" s="949">
        <v>389</v>
      </c>
      <c r="B148" s="1017">
        <v>389</v>
      </c>
      <c r="C148" s="948">
        <v>389</v>
      </c>
      <c r="D148" s="998" t="s">
        <v>195</v>
      </c>
      <c r="E148" s="998"/>
      <c r="F148" s="965">
        <v>0</v>
      </c>
      <c r="G148" s="966">
        <v>0</v>
      </c>
      <c r="H148" s="966">
        <v>0</v>
      </c>
      <c r="I148" s="966">
        <v>0</v>
      </c>
      <c r="J148" s="966">
        <v>0</v>
      </c>
      <c r="K148" s="966">
        <v>0</v>
      </c>
      <c r="L148" s="967">
        <v>0</v>
      </c>
      <c r="M148" s="968">
        <v>-77204</v>
      </c>
      <c r="N148" s="968">
        <v>0</v>
      </c>
      <c r="O148" s="969">
        <v>0</v>
      </c>
      <c r="P148" s="969">
        <v>0</v>
      </c>
      <c r="Q148" s="969">
        <v>0</v>
      </c>
      <c r="R148" s="969">
        <v>0</v>
      </c>
      <c r="S148" s="969">
        <v>0</v>
      </c>
      <c r="T148" s="969">
        <v>0</v>
      </c>
      <c r="U148" s="969">
        <v>0</v>
      </c>
      <c r="V148" s="969">
        <v>0</v>
      </c>
      <c r="W148" s="969">
        <v>0</v>
      </c>
      <c r="X148" s="969">
        <v>0</v>
      </c>
      <c r="Y148" s="969">
        <v>0</v>
      </c>
      <c r="Z148" s="969">
        <v>0</v>
      </c>
      <c r="AA148" s="969">
        <v>0</v>
      </c>
      <c r="AB148" s="969">
        <v>-18529</v>
      </c>
      <c r="AC148" s="969">
        <v>0</v>
      </c>
      <c r="AD148" s="968">
        <v>0</v>
      </c>
      <c r="AE148" s="968">
        <v>0</v>
      </c>
      <c r="AF148" s="968">
        <v>0</v>
      </c>
      <c r="AG148" s="968">
        <v>0</v>
      </c>
      <c r="AH148" s="968">
        <v>0</v>
      </c>
      <c r="AI148" s="968">
        <v>0</v>
      </c>
      <c r="AJ148" s="968">
        <v>0</v>
      </c>
      <c r="AK148" s="968">
        <v>0</v>
      </c>
      <c r="AL148" s="968">
        <v>0</v>
      </c>
      <c r="AM148" s="968">
        <v>0</v>
      </c>
      <c r="AN148" s="968">
        <v>0</v>
      </c>
      <c r="AO148" s="968">
        <v>0</v>
      </c>
      <c r="AP148" s="968">
        <v>0</v>
      </c>
      <c r="AQ148" s="968">
        <v>0</v>
      </c>
      <c r="AR148" s="968">
        <v>0</v>
      </c>
      <c r="AS148" s="968">
        <v>0</v>
      </c>
      <c r="AT148" s="968">
        <v>0</v>
      </c>
      <c r="AU148" s="968">
        <v>0</v>
      </c>
      <c r="AV148" s="968">
        <v>0</v>
      </c>
      <c r="AW148" s="968">
        <v>0</v>
      </c>
      <c r="AX148" s="968">
        <v>0</v>
      </c>
      <c r="AY148" s="968">
        <v>0</v>
      </c>
      <c r="AZ148" s="968">
        <v>0</v>
      </c>
      <c r="BA148" s="968">
        <v>0</v>
      </c>
      <c r="BB148" s="968">
        <v>0</v>
      </c>
      <c r="BC148" s="968">
        <v>0</v>
      </c>
      <c r="BD148" s="968">
        <v>0</v>
      </c>
      <c r="BE148" s="968">
        <v>-511468</v>
      </c>
      <c r="BF148" s="968">
        <v>0</v>
      </c>
      <c r="BG148" s="968">
        <v>0</v>
      </c>
      <c r="BH148" s="968">
        <v>0</v>
      </c>
      <c r="BI148" s="968">
        <v>0</v>
      </c>
      <c r="BJ148" s="968">
        <v>0</v>
      </c>
      <c r="BK148" s="913"/>
      <c r="BL148" s="913"/>
    </row>
    <row r="149" spans="1:64" s="371" customFormat="1" x14ac:dyDescent="0.3">
      <c r="A149" s="949">
        <v>391</v>
      </c>
      <c r="B149" s="1017">
        <v>391</v>
      </c>
      <c r="C149" s="948">
        <v>391</v>
      </c>
      <c r="D149" s="998" t="s">
        <v>200</v>
      </c>
      <c r="E149" s="998"/>
      <c r="F149" s="965">
        <v>20968</v>
      </c>
      <c r="G149" s="966">
        <v>405457</v>
      </c>
      <c r="H149" s="966">
        <v>7064</v>
      </c>
      <c r="I149" s="966">
        <v>31561</v>
      </c>
      <c r="J149" s="966">
        <v>413660</v>
      </c>
      <c r="K149" s="966">
        <v>24165</v>
      </c>
      <c r="L149" s="967">
        <v>28369</v>
      </c>
      <c r="M149" s="968">
        <v>41901</v>
      </c>
      <c r="N149" s="968">
        <v>334496</v>
      </c>
      <c r="O149" s="969">
        <v>2776</v>
      </c>
      <c r="P149" s="969">
        <v>64394</v>
      </c>
      <c r="Q149" s="969">
        <v>503725</v>
      </c>
      <c r="R149" s="969">
        <v>123698</v>
      </c>
      <c r="S149" s="969">
        <v>65842</v>
      </c>
      <c r="T149" s="969">
        <v>0</v>
      </c>
      <c r="U149" s="969">
        <v>49541</v>
      </c>
      <c r="V149" s="969">
        <v>1963096</v>
      </c>
      <c r="W149" s="969">
        <v>189811</v>
      </c>
      <c r="X149" s="969">
        <v>733382</v>
      </c>
      <c r="Y149" s="969">
        <v>34577</v>
      </c>
      <c r="Z149" s="969">
        <v>150952</v>
      </c>
      <c r="AA149" s="969">
        <v>0</v>
      </c>
      <c r="AB149" s="969">
        <v>80695</v>
      </c>
      <c r="AC149" s="969">
        <v>91615</v>
      </c>
      <c r="AD149" s="968">
        <v>0</v>
      </c>
      <c r="AE149" s="968">
        <v>426224</v>
      </c>
      <c r="AF149" s="968">
        <v>7415</v>
      </c>
      <c r="AG149" s="968">
        <v>435947</v>
      </c>
      <c r="AH149" s="968">
        <v>3032</v>
      </c>
      <c r="AI149" s="968">
        <v>30373</v>
      </c>
      <c r="AJ149" s="968">
        <v>204220</v>
      </c>
      <c r="AK149" s="968">
        <v>31681</v>
      </c>
      <c r="AL149" s="968">
        <v>34732</v>
      </c>
      <c r="AM149" s="968">
        <v>31160</v>
      </c>
      <c r="AN149" s="968">
        <v>202740</v>
      </c>
      <c r="AO149" s="968">
        <v>73777</v>
      </c>
      <c r="AP149" s="968">
        <v>2312</v>
      </c>
      <c r="AQ149" s="968">
        <v>162837</v>
      </c>
      <c r="AR149" s="968">
        <v>10931</v>
      </c>
      <c r="AS149" s="968">
        <v>0</v>
      </c>
      <c r="AT149" s="968">
        <v>173098</v>
      </c>
      <c r="AU149" s="968">
        <v>43452</v>
      </c>
      <c r="AV149" s="968">
        <v>12229</v>
      </c>
      <c r="AW149" s="968">
        <v>430361</v>
      </c>
      <c r="AX149" s="968">
        <v>29405</v>
      </c>
      <c r="AY149" s="968">
        <v>5005418</v>
      </c>
      <c r="AZ149" s="968">
        <v>166377</v>
      </c>
      <c r="BA149" s="968">
        <v>103540</v>
      </c>
      <c r="BB149" s="968">
        <v>130065</v>
      </c>
      <c r="BC149" s="968">
        <v>2776</v>
      </c>
      <c r="BD149" s="968">
        <v>73140</v>
      </c>
      <c r="BE149" s="968">
        <v>5808</v>
      </c>
      <c r="BF149" s="968">
        <v>305654</v>
      </c>
      <c r="BG149" s="968">
        <v>14358</v>
      </c>
      <c r="BH149" s="968">
        <v>892871</v>
      </c>
      <c r="BI149" s="968">
        <v>8473</v>
      </c>
      <c r="BJ149" s="968">
        <v>42248</v>
      </c>
      <c r="BK149" s="913"/>
      <c r="BL149" s="913"/>
    </row>
    <row r="150" spans="1:64" s="371" customFormat="1" ht="28.8" x14ac:dyDescent="0.3">
      <c r="A150" s="949">
        <v>500</v>
      </c>
      <c r="B150" s="1017">
        <v>500</v>
      </c>
      <c r="C150" s="948">
        <v>500</v>
      </c>
      <c r="D150" s="998" t="s">
        <v>183</v>
      </c>
      <c r="E150" s="998"/>
      <c r="F150" s="965">
        <v>0</v>
      </c>
      <c r="G150" s="966">
        <v>0</v>
      </c>
      <c r="H150" s="966">
        <v>0</v>
      </c>
      <c r="I150" s="966">
        <v>0</v>
      </c>
      <c r="J150" s="966">
        <v>0</v>
      </c>
      <c r="K150" s="966">
        <v>0</v>
      </c>
      <c r="L150" s="967">
        <v>0</v>
      </c>
      <c r="M150" s="968">
        <v>94342</v>
      </c>
      <c r="N150" s="968">
        <v>0</v>
      </c>
      <c r="O150" s="969">
        <v>0</v>
      </c>
      <c r="P150" s="969">
        <v>0</v>
      </c>
      <c r="Q150" s="969">
        <v>0</v>
      </c>
      <c r="R150" s="969">
        <v>0</v>
      </c>
      <c r="S150" s="969">
        <v>0</v>
      </c>
      <c r="T150" s="969">
        <v>0</v>
      </c>
      <c r="U150" s="969">
        <v>0</v>
      </c>
      <c r="V150" s="969">
        <v>0</v>
      </c>
      <c r="W150" s="969">
        <v>2227309</v>
      </c>
      <c r="X150" s="969">
        <v>0</v>
      </c>
      <c r="Y150" s="969">
        <v>0</v>
      </c>
      <c r="Z150" s="969">
        <v>0</v>
      </c>
      <c r="AA150" s="969">
        <v>0</v>
      </c>
      <c r="AB150" s="969">
        <v>0</v>
      </c>
      <c r="AC150" s="969">
        <v>0</v>
      </c>
      <c r="AD150" s="968">
        <v>0</v>
      </c>
      <c r="AE150" s="968">
        <v>0</v>
      </c>
      <c r="AF150" s="968">
        <v>102829</v>
      </c>
      <c r="AG150" s="968">
        <v>0</v>
      </c>
      <c r="AH150" s="968">
        <v>0</v>
      </c>
      <c r="AI150" s="968">
        <v>0</v>
      </c>
      <c r="AJ150" s="968">
        <v>0</v>
      </c>
      <c r="AK150" s="968">
        <v>0</v>
      </c>
      <c r="AL150" s="968">
        <v>0</v>
      </c>
      <c r="AM150" s="968">
        <v>0</v>
      </c>
      <c r="AN150" s="968">
        <v>0</v>
      </c>
      <c r="AO150" s="968">
        <v>0</v>
      </c>
      <c r="AP150" s="968">
        <v>0</v>
      </c>
      <c r="AQ150" s="968">
        <v>0</v>
      </c>
      <c r="AR150" s="968">
        <v>0</v>
      </c>
      <c r="AS150" s="968">
        <v>1998020</v>
      </c>
      <c r="AT150" s="968">
        <v>0</v>
      </c>
      <c r="AU150" s="968">
        <v>0</v>
      </c>
      <c r="AV150" s="968">
        <v>13001</v>
      </c>
      <c r="AW150" s="968">
        <v>0</v>
      </c>
      <c r="AX150" s="968">
        <v>208107</v>
      </c>
      <c r="AY150" s="968">
        <v>1170115</v>
      </c>
      <c r="AZ150" s="968">
        <v>0</v>
      </c>
      <c r="BA150" s="968">
        <v>0</v>
      </c>
      <c r="BB150" s="968">
        <v>0</v>
      </c>
      <c r="BC150" s="968">
        <v>0</v>
      </c>
      <c r="BD150" s="968">
        <v>0</v>
      </c>
      <c r="BE150" s="968">
        <v>0</v>
      </c>
      <c r="BF150" s="968">
        <v>0</v>
      </c>
      <c r="BG150" s="968">
        <v>0</v>
      </c>
      <c r="BH150" s="968">
        <v>0</v>
      </c>
      <c r="BI150" s="968">
        <v>0</v>
      </c>
      <c r="BJ150" s="968">
        <v>0</v>
      </c>
      <c r="BK150" s="913"/>
      <c r="BL150" s="913"/>
    </row>
    <row r="151" spans="1:64" s="371" customFormat="1" x14ac:dyDescent="0.3">
      <c r="A151" s="949">
        <v>501</v>
      </c>
      <c r="B151" s="1017"/>
      <c r="C151" s="948">
        <v>501</v>
      </c>
      <c r="D151" s="998" t="e">
        <v>#VALUE!</v>
      </c>
      <c r="E151" s="998"/>
      <c r="F151" s="965"/>
      <c r="G151" s="966"/>
      <c r="H151" s="966"/>
      <c r="I151" s="966"/>
      <c r="J151" s="966"/>
      <c r="K151" s="966"/>
      <c r="L151" s="967"/>
      <c r="M151" s="968"/>
      <c r="N151" s="968"/>
      <c r="O151" s="969"/>
      <c r="P151" s="969"/>
      <c r="Q151" s="969"/>
      <c r="R151" s="969"/>
      <c r="S151" s="969"/>
      <c r="T151" s="969"/>
      <c r="U151" s="969"/>
      <c r="V151" s="969"/>
      <c r="W151" s="969"/>
      <c r="X151" s="969"/>
      <c r="Y151" s="969"/>
      <c r="Z151" s="969"/>
      <c r="AA151" s="969"/>
      <c r="AB151" s="969"/>
      <c r="AC151" s="969"/>
      <c r="AD151" s="968"/>
      <c r="AE151" s="968"/>
      <c r="AF151" s="968"/>
      <c r="AG151" s="968"/>
      <c r="AH151" s="968"/>
      <c r="AI151" s="968"/>
      <c r="AJ151" s="968"/>
      <c r="AK151" s="968"/>
      <c r="AL151" s="968"/>
      <c r="AM151" s="968"/>
      <c r="AN151" s="968"/>
      <c r="AO151" s="968"/>
      <c r="AP151" s="968"/>
      <c r="AQ151" s="968"/>
      <c r="AR151" s="968"/>
      <c r="AS151" s="968"/>
      <c r="AT151" s="968"/>
      <c r="AU151" s="968"/>
      <c r="AV151" s="968"/>
      <c r="AW151" s="968"/>
      <c r="AX151" s="968"/>
      <c r="AY151" s="968"/>
      <c r="AZ151" s="968"/>
      <c r="BA151" s="968"/>
      <c r="BB151" s="968"/>
      <c r="BC151" s="968"/>
      <c r="BD151" s="968"/>
      <c r="BE151" s="968"/>
      <c r="BF151" s="968"/>
      <c r="BG151" s="968"/>
      <c r="BH151" s="968"/>
      <c r="BI151" s="968"/>
      <c r="BJ151" s="968"/>
      <c r="BK151" s="913"/>
      <c r="BL151" s="913"/>
    </row>
    <row r="152" spans="1:64" s="371" customFormat="1" ht="28.8" x14ac:dyDescent="0.3">
      <c r="A152" s="949">
        <v>502</v>
      </c>
      <c r="B152" s="1017">
        <v>502</v>
      </c>
      <c r="C152" s="948">
        <v>502</v>
      </c>
      <c r="D152" s="998" t="s">
        <v>185</v>
      </c>
      <c r="E152" s="998"/>
      <c r="F152" s="965">
        <v>88922</v>
      </c>
      <c r="G152" s="966">
        <v>654164</v>
      </c>
      <c r="H152" s="966">
        <v>2101546</v>
      </c>
      <c r="I152" s="966">
        <v>1088545</v>
      </c>
      <c r="J152" s="966">
        <v>670991</v>
      </c>
      <c r="K152" s="966">
        <v>260099</v>
      </c>
      <c r="L152" s="967">
        <v>536836</v>
      </c>
      <c r="M152" s="968">
        <v>1292078</v>
      </c>
      <c r="N152" s="968">
        <v>679264</v>
      </c>
      <c r="O152" s="969">
        <v>297614</v>
      </c>
      <c r="P152" s="969">
        <v>655895</v>
      </c>
      <c r="Q152" s="969">
        <v>1915455</v>
      </c>
      <c r="R152" s="969">
        <v>2607070</v>
      </c>
      <c r="S152" s="969">
        <v>135258</v>
      </c>
      <c r="T152" s="969">
        <v>0</v>
      </c>
      <c r="U152" s="969">
        <v>2922361</v>
      </c>
      <c r="V152" s="969">
        <v>3885515</v>
      </c>
      <c r="W152" s="969">
        <v>1969151</v>
      </c>
      <c r="X152" s="969">
        <v>241453</v>
      </c>
      <c r="Y152" s="969">
        <v>6806071</v>
      </c>
      <c r="Z152" s="969">
        <v>1014179</v>
      </c>
      <c r="AA152" s="969">
        <v>144808</v>
      </c>
      <c r="AB152" s="969">
        <v>2056451</v>
      </c>
      <c r="AC152" s="969">
        <v>114826</v>
      </c>
      <c r="AD152" s="968">
        <v>1240541</v>
      </c>
      <c r="AE152" s="968">
        <v>5637188</v>
      </c>
      <c r="AF152" s="968">
        <v>9071</v>
      </c>
      <c r="AG152" s="968">
        <v>4165107</v>
      </c>
      <c r="AH152" s="968">
        <v>1536608</v>
      </c>
      <c r="AI152" s="968">
        <v>513376</v>
      </c>
      <c r="AJ152" s="968">
        <v>5017209</v>
      </c>
      <c r="AK152" s="968">
        <v>2205797</v>
      </c>
      <c r="AL152" s="968">
        <v>2945701</v>
      </c>
      <c r="AM152" s="968">
        <v>546373</v>
      </c>
      <c r="AN152" s="968">
        <v>1517379</v>
      </c>
      <c r="AO152" s="968">
        <v>1508119</v>
      </c>
      <c r="AP152" s="968">
        <v>926846</v>
      </c>
      <c r="AQ152" s="968">
        <v>809738</v>
      </c>
      <c r="AR152" s="968">
        <v>794552</v>
      </c>
      <c r="AS152" s="968">
        <v>606750</v>
      </c>
      <c r="AT152" s="968">
        <v>1986270</v>
      </c>
      <c r="AU152" s="968">
        <v>161418</v>
      </c>
      <c r="AV152" s="968">
        <v>289511</v>
      </c>
      <c r="AW152" s="968">
        <v>6256530</v>
      </c>
      <c r="AX152" s="968">
        <v>1102269</v>
      </c>
      <c r="AY152" s="968">
        <v>23634435</v>
      </c>
      <c r="AZ152" s="968">
        <v>824039</v>
      </c>
      <c r="BA152" s="968">
        <v>130401</v>
      </c>
      <c r="BB152" s="968">
        <v>1071655</v>
      </c>
      <c r="BC152" s="968">
        <v>2514065</v>
      </c>
      <c r="BD152" s="968">
        <v>221202</v>
      </c>
      <c r="BE152" s="968">
        <v>928045</v>
      </c>
      <c r="BF152" s="968">
        <v>752293</v>
      </c>
      <c r="BG152" s="968">
        <v>1406961</v>
      </c>
      <c r="BH152" s="968">
        <v>12599141</v>
      </c>
      <c r="BI152" s="968">
        <v>933195</v>
      </c>
      <c r="BJ152" s="968">
        <v>457217</v>
      </c>
      <c r="BK152" s="913"/>
      <c r="BL152" s="913"/>
    </row>
    <row r="153" spans="1:64" s="371" customFormat="1" ht="28.8" x14ac:dyDescent="0.3">
      <c r="A153" s="949">
        <v>503</v>
      </c>
      <c r="B153" s="1017">
        <v>503</v>
      </c>
      <c r="C153" s="948">
        <v>503</v>
      </c>
      <c r="D153" s="998" t="s">
        <v>186</v>
      </c>
      <c r="E153" s="998"/>
      <c r="F153" s="965">
        <v>0</v>
      </c>
      <c r="G153" s="966">
        <v>0</v>
      </c>
      <c r="H153" s="966">
        <v>0</v>
      </c>
      <c r="I153" s="966">
        <v>0</v>
      </c>
      <c r="J153" s="966">
        <v>0</v>
      </c>
      <c r="K153" s="966">
        <v>0</v>
      </c>
      <c r="L153" s="967">
        <v>0</v>
      </c>
      <c r="M153" s="968">
        <v>0</v>
      </c>
      <c r="N153" s="968">
        <v>0</v>
      </c>
      <c r="O153" s="969">
        <v>0</v>
      </c>
      <c r="P153" s="969">
        <v>0</v>
      </c>
      <c r="Q153" s="969">
        <v>0</v>
      </c>
      <c r="R153" s="969">
        <v>0</v>
      </c>
      <c r="S153" s="969">
        <v>0</v>
      </c>
      <c r="T153" s="969">
        <v>0</v>
      </c>
      <c r="U153" s="969">
        <v>0</v>
      </c>
      <c r="V153" s="969">
        <v>0</v>
      </c>
      <c r="W153" s="969">
        <v>0</v>
      </c>
      <c r="X153" s="969">
        <v>0</v>
      </c>
      <c r="Y153" s="969">
        <v>0</v>
      </c>
      <c r="Z153" s="969">
        <v>0</v>
      </c>
      <c r="AA153" s="969">
        <v>0</v>
      </c>
      <c r="AB153" s="969">
        <v>0</v>
      </c>
      <c r="AC153" s="969">
        <v>0</v>
      </c>
      <c r="AD153" s="968">
        <v>0</v>
      </c>
      <c r="AE153" s="968">
        <v>0</v>
      </c>
      <c r="AF153" s="968">
        <v>0</v>
      </c>
      <c r="AG153" s="968">
        <v>0</v>
      </c>
      <c r="AH153" s="968">
        <v>0</v>
      </c>
      <c r="AI153" s="968">
        <v>0</v>
      </c>
      <c r="AJ153" s="968">
        <v>0</v>
      </c>
      <c r="AK153" s="968">
        <v>0</v>
      </c>
      <c r="AL153" s="968">
        <v>0</v>
      </c>
      <c r="AM153" s="968">
        <v>0</v>
      </c>
      <c r="AN153" s="968">
        <v>0</v>
      </c>
      <c r="AO153" s="968">
        <v>0</v>
      </c>
      <c r="AP153" s="968">
        <v>0</v>
      </c>
      <c r="AQ153" s="968">
        <v>0</v>
      </c>
      <c r="AR153" s="968">
        <v>0</v>
      </c>
      <c r="AS153" s="968">
        <v>0</v>
      </c>
      <c r="AT153" s="968">
        <v>0</v>
      </c>
      <c r="AU153" s="968">
        <v>0</v>
      </c>
      <c r="AV153" s="968">
        <v>0</v>
      </c>
      <c r="AW153" s="968">
        <v>0</v>
      </c>
      <c r="AX153" s="968">
        <v>0</v>
      </c>
      <c r="AY153" s="968">
        <v>0</v>
      </c>
      <c r="AZ153" s="968">
        <v>0</v>
      </c>
      <c r="BA153" s="968">
        <v>0</v>
      </c>
      <c r="BB153" s="968">
        <v>0</v>
      </c>
      <c r="BC153" s="968">
        <v>0</v>
      </c>
      <c r="BD153" s="968">
        <v>0</v>
      </c>
      <c r="BE153" s="968">
        <v>0</v>
      </c>
      <c r="BF153" s="968">
        <v>0</v>
      </c>
      <c r="BG153" s="968">
        <v>0</v>
      </c>
      <c r="BH153" s="968">
        <v>0</v>
      </c>
      <c r="BI153" s="968">
        <v>0</v>
      </c>
      <c r="BJ153" s="968">
        <v>0</v>
      </c>
      <c r="BK153" s="913"/>
      <c r="BL153" s="913"/>
    </row>
    <row r="154" spans="1:64" s="371" customFormat="1" ht="28.8" x14ac:dyDescent="0.3">
      <c r="A154" s="949">
        <v>504</v>
      </c>
      <c r="B154" s="1017">
        <v>504</v>
      </c>
      <c r="C154" s="948">
        <v>504</v>
      </c>
      <c r="D154" s="998" t="s">
        <v>190</v>
      </c>
      <c r="E154" s="998"/>
      <c r="F154" s="965">
        <v>39070088</v>
      </c>
      <c r="G154" s="966">
        <v>68040763</v>
      </c>
      <c r="H154" s="966">
        <v>63829540</v>
      </c>
      <c r="I154" s="966">
        <v>23577103</v>
      </c>
      <c r="J154" s="966">
        <v>75387174</v>
      </c>
      <c r="K154" s="966">
        <v>33646171</v>
      </c>
      <c r="L154" s="967">
        <v>20777843</v>
      </c>
      <c r="M154" s="968">
        <v>26747059</v>
      </c>
      <c r="N154" s="968">
        <v>49891628</v>
      </c>
      <c r="O154" s="969">
        <v>15393021</v>
      </c>
      <c r="P154" s="969">
        <v>33636634</v>
      </c>
      <c r="Q154" s="969">
        <v>87665899</v>
      </c>
      <c r="R154" s="969">
        <v>38144067</v>
      </c>
      <c r="S154" s="969">
        <v>14333295</v>
      </c>
      <c r="T154" s="969">
        <v>1790232</v>
      </c>
      <c r="U154" s="969">
        <v>108157936</v>
      </c>
      <c r="V154" s="969">
        <v>189850745</v>
      </c>
      <c r="W154" s="969">
        <v>21093169</v>
      </c>
      <c r="X154" s="969">
        <v>17764315</v>
      </c>
      <c r="Y154" s="969">
        <v>184158420</v>
      </c>
      <c r="Z154" s="969">
        <v>52453156</v>
      </c>
      <c r="AA154" s="969">
        <v>13701198</v>
      </c>
      <c r="AB154" s="969">
        <v>69408928</v>
      </c>
      <c r="AC154" s="969">
        <v>13612623</v>
      </c>
      <c r="AD154" s="968">
        <v>35532006</v>
      </c>
      <c r="AE154" s="968">
        <v>186710961</v>
      </c>
      <c r="AF154" s="968">
        <v>19007708</v>
      </c>
      <c r="AG154" s="968">
        <v>117429870</v>
      </c>
      <c r="AH154" s="968">
        <v>54250978</v>
      </c>
      <c r="AI154" s="968">
        <v>20776389</v>
      </c>
      <c r="AJ154" s="968">
        <v>177697911</v>
      </c>
      <c r="AK154" s="968">
        <v>96065138</v>
      </c>
      <c r="AL154" s="968">
        <v>136715631</v>
      </c>
      <c r="AM154" s="968">
        <v>69027786</v>
      </c>
      <c r="AN154" s="968">
        <v>58638744</v>
      </c>
      <c r="AO154" s="968">
        <v>47784227</v>
      </c>
      <c r="AP154" s="968">
        <v>62816006</v>
      </c>
      <c r="AQ154" s="968">
        <v>47784961</v>
      </c>
      <c r="AR154" s="968">
        <v>57742729</v>
      </c>
      <c r="AS154" s="968">
        <v>16403819</v>
      </c>
      <c r="AT154" s="968">
        <v>18900481</v>
      </c>
      <c r="AU154" s="968">
        <v>25517329</v>
      </c>
      <c r="AV154" s="968">
        <v>6241660</v>
      </c>
      <c r="AW154" s="968">
        <v>275242644</v>
      </c>
      <c r="AX154" s="968">
        <v>46874711</v>
      </c>
      <c r="AY154" s="968">
        <v>1120724055</v>
      </c>
      <c r="AZ154" s="968">
        <v>18930264</v>
      </c>
      <c r="BA154" s="968">
        <v>13811383</v>
      </c>
      <c r="BB154" s="968">
        <v>33324424</v>
      </c>
      <c r="BC154" s="968">
        <v>141057454</v>
      </c>
      <c r="BD154" s="968">
        <v>9126784</v>
      </c>
      <c r="BE154" s="968">
        <v>19507466</v>
      </c>
      <c r="BF154" s="968">
        <v>68585393</v>
      </c>
      <c r="BG154" s="968">
        <v>77970025</v>
      </c>
      <c r="BH154" s="968">
        <v>403748166</v>
      </c>
      <c r="BI154" s="968">
        <v>40407864</v>
      </c>
      <c r="BJ154" s="968">
        <v>18215790</v>
      </c>
      <c r="BK154" s="913"/>
      <c r="BL154" s="913"/>
    </row>
    <row r="155" spans="1:64" s="371" customFormat="1" ht="28.8" x14ac:dyDescent="0.3">
      <c r="A155" s="949">
        <v>505</v>
      </c>
      <c r="B155" s="1017">
        <v>505</v>
      </c>
      <c r="C155" s="948">
        <v>505</v>
      </c>
      <c r="D155" s="998" t="s">
        <v>191</v>
      </c>
      <c r="E155" s="998"/>
      <c r="F155" s="965">
        <v>136726</v>
      </c>
      <c r="G155" s="966">
        <v>426709</v>
      </c>
      <c r="H155" s="966">
        <v>483249</v>
      </c>
      <c r="I155" s="966">
        <v>0</v>
      </c>
      <c r="J155" s="966">
        <v>169881</v>
      </c>
      <c r="K155" s="966">
        <v>235256</v>
      </c>
      <c r="L155" s="967">
        <v>193977</v>
      </c>
      <c r="M155" s="968">
        <v>1129073</v>
      </c>
      <c r="N155" s="968">
        <v>119481</v>
      </c>
      <c r="O155" s="969">
        <v>695858</v>
      </c>
      <c r="P155" s="969">
        <v>347429</v>
      </c>
      <c r="Q155" s="969">
        <v>631348</v>
      </c>
      <c r="R155" s="969">
        <v>0</v>
      </c>
      <c r="S155" s="969">
        <v>0</v>
      </c>
      <c r="T155" s="969">
        <v>0</v>
      </c>
      <c r="U155" s="969">
        <v>842006</v>
      </c>
      <c r="V155" s="969">
        <v>0</v>
      </c>
      <c r="W155" s="969">
        <v>0</v>
      </c>
      <c r="X155" s="969">
        <v>231790</v>
      </c>
      <c r="Y155" s="969">
        <v>711500</v>
      </c>
      <c r="Z155" s="969">
        <v>387173</v>
      </c>
      <c r="AA155" s="969">
        <v>161212</v>
      </c>
      <c r="AB155" s="969">
        <v>873070</v>
      </c>
      <c r="AC155" s="969">
        <v>112374</v>
      </c>
      <c r="AD155" s="968">
        <v>235990</v>
      </c>
      <c r="AE155" s="968">
        <v>2708561</v>
      </c>
      <c r="AF155" s="968">
        <v>43101</v>
      </c>
      <c r="AG155" s="968">
        <v>1521243</v>
      </c>
      <c r="AH155" s="968">
        <v>609660</v>
      </c>
      <c r="AI155" s="968">
        <v>0</v>
      </c>
      <c r="AJ155" s="968">
        <v>0</v>
      </c>
      <c r="AK155" s="968">
        <v>449242</v>
      </c>
      <c r="AL155" s="968">
        <v>1297747</v>
      </c>
      <c r="AM155" s="968">
        <v>0</v>
      </c>
      <c r="AN155" s="968">
        <v>928254</v>
      </c>
      <c r="AO155" s="968">
        <v>457348</v>
      </c>
      <c r="AP155" s="968">
        <v>217543</v>
      </c>
      <c r="AQ155" s="968">
        <v>239194</v>
      </c>
      <c r="AR155" s="968">
        <v>140972</v>
      </c>
      <c r="AS155" s="968">
        <v>12189</v>
      </c>
      <c r="AT155" s="968">
        <v>5503</v>
      </c>
      <c r="AU155" s="968">
        <v>23838</v>
      </c>
      <c r="AV155" s="968">
        <v>298104</v>
      </c>
      <c r="AW155" s="968">
        <v>449980</v>
      </c>
      <c r="AX155" s="968">
        <v>379884</v>
      </c>
      <c r="AY155" s="968">
        <v>0</v>
      </c>
      <c r="AZ155" s="968">
        <v>174566</v>
      </c>
      <c r="BA155" s="968">
        <v>0</v>
      </c>
      <c r="BB155" s="968">
        <v>84833</v>
      </c>
      <c r="BC155" s="968">
        <v>907081</v>
      </c>
      <c r="BD155" s="968">
        <v>0</v>
      </c>
      <c r="BE155" s="968">
        <v>261510</v>
      </c>
      <c r="BF155" s="968">
        <v>434619</v>
      </c>
      <c r="BG155" s="968">
        <v>0</v>
      </c>
      <c r="BH155" s="968">
        <v>0</v>
      </c>
      <c r="BI155" s="968">
        <v>283924</v>
      </c>
      <c r="BJ155" s="968">
        <v>473050</v>
      </c>
      <c r="BK155" s="913"/>
      <c r="BL155" s="913"/>
    </row>
    <row r="156" spans="1:64" s="371" customFormat="1" ht="28.8" x14ac:dyDescent="0.3">
      <c r="A156" s="949">
        <v>506</v>
      </c>
      <c r="B156" s="1017">
        <v>506</v>
      </c>
      <c r="C156" s="948">
        <v>506</v>
      </c>
      <c r="D156" s="998" t="s">
        <v>197</v>
      </c>
      <c r="E156" s="998"/>
      <c r="F156" s="965">
        <v>504978</v>
      </c>
      <c r="G156" s="966">
        <v>3903434</v>
      </c>
      <c r="H156" s="966">
        <v>2737901</v>
      </c>
      <c r="I156" s="966">
        <v>1636312</v>
      </c>
      <c r="J156" s="966">
        <v>2900790</v>
      </c>
      <c r="K156" s="966">
        <v>1544413</v>
      </c>
      <c r="L156" s="967">
        <v>456653</v>
      </c>
      <c r="M156" s="968">
        <v>2960694</v>
      </c>
      <c r="N156" s="968">
        <v>5809465</v>
      </c>
      <c r="O156" s="969">
        <v>1078631</v>
      </c>
      <c r="P156" s="969">
        <v>3058983</v>
      </c>
      <c r="Q156" s="969">
        <v>3821938</v>
      </c>
      <c r="R156" s="969">
        <v>2589371</v>
      </c>
      <c r="S156" s="969">
        <v>1442250</v>
      </c>
      <c r="T156" s="969">
        <v>657504</v>
      </c>
      <c r="U156" s="969">
        <v>6891353</v>
      </c>
      <c r="V156" s="969">
        <v>31774305</v>
      </c>
      <c r="W156" s="969">
        <v>2612297</v>
      </c>
      <c r="X156" s="969">
        <v>274162</v>
      </c>
      <c r="Y156" s="969">
        <v>18361445</v>
      </c>
      <c r="Z156" s="969">
        <v>7948113</v>
      </c>
      <c r="AA156" s="969">
        <v>480079</v>
      </c>
      <c r="AB156" s="969">
        <v>4487618</v>
      </c>
      <c r="AC156" s="969">
        <v>350681</v>
      </c>
      <c r="AD156" s="968">
        <v>1852709</v>
      </c>
      <c r="AE156" s="968">
        <v>9963139</v>
      </c>
      <c r="AF156" s="968">
        <v>780541</v>
      </c>
      <c r="AG156" s="968">
        <v>5856179</v>
      </c>
      <c r="AH156" s="968">
        <v>3658697</v>
      </c>
      <c r="AI156" s="968">
        <v>1642612</v>
      </c>
      <c r="AJ156" s="968">
        <v>7949660</v>
      </c>
      <c r="AK156" s="968">
        <v>17123213</v>
      </c>
      <c r="AL156" s="968">
        <v>8079716</v>
      </c>
      <c r="AM156" s="968">
        <v>4873622</v>
      </c>
      <c r="AN156" s="968">
        <v>4368065</v>
      </c>
      <c r="AO156" s="968">
        <v>3548083</v>
      </c>
      <c r="AP156" s="968">
        <v>908979</v>
      </c>
      <c r="AQ156" s="968">
        <v>1132752</v>
      </c>
      <c r="AR156" s="968">
        <v>2955354</v>
      </c>
      <c r="AS156" s="968">
        <v>58403</v>
      </c>
      <c r="AT156" s="968">
        <v>0</v>
      </c>
      <c r="AU156" s="968">
        <v>1298051</v>
      </c>
      <c r="AV156" s="968">
        <v>329758</v>
      </c>
      <c r="AW156" s="968">
        <v>6308974</v>
      </c>
      <c r="AX156" s="968">
        <v>806527</v>
      </c>
      <c r="AY156" s="968">
        <v>101334419</v>
      </c>
      <c r="AZ156" s="968">
        <v>927502</v>
      </c>
      <c r="BA156" s="968">
        <v>373268</v>
      </c>
      <c r="BB156" s="968">
        <v>4222558</v>
      </c>
      <c r="BC156" s="968">
        <v>862392</v>
      </c>
      <c r="BD156" s="968">
        <v>891140</v>
      </c>
      <c r="BE156" s="968">
        <v>1569341</v>
      </c>
      <c r="BF156" s="968">
        <v>10085544</v>
      </c>
      <c r="BG156" s="968">
        <v>7861326</v>
      </c>
      <c r="BH156" s="968">
        <v>13715451</v>
      </c>
      <c r="BI156" s="968">
        <v>1787082</v>
      </c>
      <c r="BJ156" s="968">
        <v>1192969</v>
      </c>
      <c r="BK156" s="913"/>
      <c r="BL156" s="913"/>
    </row>
    <row r="157" spans="1:64" s="371" customFormat="1" ht="28.8" x14ac:dyDescent="0.3">
      <c r="A157" s="949">
        <v>507</v>
      </c>
      <c r="B157" s="1017">
        <v>507</v>
      </c>
      <c r="C157" s="948">
        <v>507</v>
      </c>
      <c r="D157" s="998" t="s">
        <v>215</v>
      </c>
      <c r="E157" s="998"/>
      <c r="F157" s="965">
        <v>0</v>
      </c>
      <c r="G157" s="966">
        <v>57862</v>
      </c>
      <c r="H157" s="966">
        <v>44544</v>
      </c>
      <c r="I157" s="966">
        <v>0</v>
      </c>
      <c r="J157" s="966">
        <v>0</v>
      </c>
      <c r="K157" s="966">
        <v>0</v>
      </c>
      <c r="L157" s="967">
        <v>-5074</v>
      </c>
      <c r="M157" s="968">
        <v>4763</v>
      </c>
      <c r="N157" s="968">
        <v>0</v>
      </c>
      <c r="O157" s="969">
        <v>2</v>
      </c>
      <c r="P157" s="969">
        <v>-18050</v>
      </c>
      <c r="Q157" s="969">
        <v>-133516</v>
      </c>
      <c r="R157" s="969">
        <v>0</v>
      </c>
      <c r="S157" s="969">
        <v>0</v>
      </c>
      <c r="T157" s="969">
        <v>0</v>
      </c>
      <c r="U157" s="969">
        <v>49639</v>
      </c>
      <c r="V157" s="969">
        <v>-74536</v>
      </c>
      <c r="W157" s="969">
        <v>0</v>
      </c>
      <c r="X157" s="969">
        <v>-16355</v>
      </c>
      <c r="Y157" s="969">
        <v>30340</v>
      </c>
      <c r="Z157" s="969">
        <v>0</v>
      </c>
      <c r="AA157" s="969">
        <v>0</v>
      </c>
      <c r="AB157" s="969">
        <v>0</v>
      </c>
      <c r="AC157" s="969">
        <v>0</v>
      </c>
      <c r="AD157" s="968">
        <v>0</v>
      </c>
      <c r="AE157" s="968">
        <v>23194</v>
      </c>
      <c r="AF157" s="968">
        <v>0</v>
      </c>
      <c r="AG157" s="968">
        <v>4996</v>
      </c>
      <c r="AH157" s="968">
        <v>0</v>
      </c>
      <c r="AI157" s="968">
        <v>0</v>
      </c>
      <c r="AJ157" s="968">
        <v>0</v>
      </c>
      <c r="AK157" s="968">
        <v>0</v>
      </c>
      <c r="AL157" s="968">
        <v>0</v>
      </c>
      <c r="AM157" s="968">
        <v>0</v>
      </c>
      <c r="AN157" s="968">
        <v>-54828</v>
      </c>
      <c r="AO157" s="968">
        <v>0</v>
      </c>
      <c r="AP157" s="968">
        <v>0</v>
      </c>
      <c r="AQ157" s="968">
        <v>0</v>
      </c>
      <c r="AR157" s="968">
        <v>-61738</v>
      </c>
      <c r="AS157" s="968">
        <v>0</v>
      </c>
      <c r="AT157" s="968">
        <v>0</v>
      </c>
      <c r="AU157" s="968">
        <v>0</v>
      </c>
      <c r="AV157" s="968">
        <v>0</v>
      </c>
      <c r="AW157" s="968">
        <v>0</v>
      </c>
      <c r="AX157" s="968">
        <v>3723</v>
      </c>
      <c r="AY157" s="968">
        <v>1345985</v>
      </c>
      <c r="AZ157" s="968">
        <v>0</v>
      </c>
      <c r="BA157" s="968">
        <v>-5057</v>
      </c>
      <c r="BB157" s="968">
        <v>4790</v>
      </c>
      <c r="BC157" s="968">
        <v>-424798</v>
      </c>
      <c r="BD157" s="968">
        <v>0</v>
      </c>
      <c r="BE157" s="968">
        <v>0</v>
      </c>
      <c r="BF157" s="968">
        <v>38206</v>
      </c>
      <c r="BG157" s="968">
        <v>-33038</v>
      </c>
      <c r="BH157" s="968">
        <v>38193</v>
      </c>
      <c r="BI157" s="968">
        <v>0</v>
      </c>
      <c r="BJ157" s="968">
        <v>5917</v>
      </c>
      <c r="BK157" s="913"/>
      <c r="BL157" s="913"/>
    </row>
    <row r="158" spans="1:64" s="371" customFormat="1" x14ac:dyDescent="0.3">
      <c r="A158" s="949">
        <v>508</v>
      </c>
      <c r="B158" s="1017"/>
      <c r="C158" s="948">
        <v>508</v>
      </c>
      <c r="D158" s="998" t="e">
        <v>#VALUE!</v>
      </c>
      <c r="E158" s="998"/>
      <c r="F158" s="965"/>
      <c r="G158" s="966"/>
      <c r="H158" s="966"/>
      <c r="I158" s="966"/>
      <c r="J158" s="966"/>
      <c r="K158" s="966"/>
      <c r="L158" s="967"/>
      <c r="M158" s="968"/>
      <c r="N158" s="968"/>
      <c r="O158" s="969"/>
      <c r="P158" s="969"/>
      <c r="Q158" s="969"/>
      <c r="R158" s="969"/>
      <c r="S158" s="969"/>
      <c r="T158" s="969"/>
      <c r="U158" s="969"/>
      <c r="V158" s="969"/>
      <c r="W158" s="969"/>
      <c r="X158" s="969"/>
      <c r="Y158" s="969"/>
      <c r="Z158" s="969"/>
      <c r="AA158" s="969"/>
      <c r="AB158" s="969"/>
      <c r="AC158" s="969"/>
      <c r="AD158" s="968"/>
      <c r="AE158" s="968"/>
      <c r="AF158" s="968"/>
      <c r="AG158" s="968"/>
      <c r="AH158" s="968"/>
      <c r="AI158" s="968"/>
      <c r="AJ158" s="968"/>
      <c r="AK158" s="968"/>
      <c r="AL158" s="968"/>
      <c r="AM158" s="968"/>
      <c r="AN158" s="968"/>
      <c r="AO158" s="968"/>
      <c r="AP158" s="968"/>
      <c r="AQ158" s="968"/>
      <c r="AR158" s="968"/>
      <c r="AS158" s="968"/>
      <c r="AT158" s="968"/>
      <c r="AU158" s="968"/>
      <c r="AV158" s="968"/>
      <c r="AW158" s="968"/>
      <c r="AX158" s="968"/>
      <c r="AY158" s="968"/>
      <c r="AZ158" s="968"/>
      <c r="BA158" s="968"/>
      <c r="BB158" s="968"/>
      <c r="BC158" s="968"/>
      <c r="BD158" s="968"/>
      <c r="BE158" s="968"/>
      <c r="BF158" s="968"/>
      <c r="BG158" s="968"/>
      <c r="BH158" s="968"/>
      <c r="BI158" s="968"/>
      <c r="BJ158" s="968"/>
      <c r="BK158" s="913"/>
      <c r="BL158" s="913"/>
    </row>
    <row r="159" spans="1:64" s="371" customFormat="1" x14ac:dyDescent="0.3">
      <c r="A159" s="949">
        <v>509</v>
      </c>
      <c r="B159" s="1017"/>
      <c r="C159" s="948">
        <v>509</v>
      </c>
      <c r="D159" s="998" t="e">
        <v>#VALUE!</v>
      </c>
      <c r="E159" s="998"/>
      <c r="F159" s="965"/>
      <c r="G159" s="966"/>
      <c r="H159" s="966"/>
      <c r="I159" s="966"/>
      <c r="J159" s="966"/>
      <c r="K159" s="966"/>
      <c r="L159" s="967"/>
      <c r="M159" s="968"/>
      <c r="N159" s="968"/>
      <c r="O159" s="969"/>
      <c r="P159" s="969"/>
      <c r="Q159" s="969"/>
      <c r="R159" s="969"/>
      <c r="S159" s="969"/>
      <c r="T159" s="969"/>
      <c r="U159" s="969"/>
      <c r="V159" s="969"/>
      <c r="W159" s="969"/>
      <c r="X159" s="969"/>
      <c r="Y159" s="969"/>
      <c r="Z159" s="969"/>
      <c r="AA159" s="969"/>
      <c r="AB159" s="969"/>
      <c r="AC159" s="969"/>
      <c r="AD159" s="968"/>
      <c r="AE159" s="968"/>
      <c r="AF159" s="968"/>
      <c r="AG159" s="968"/>
      <c r="AH159" s="968"/>
      <c r="AI159" s="968"/>
      <c r="AJ159" s="968"/>
      <c r="AK159" s="968"/>
      <c r="AL159" s="968"/>
      <c r="AM159" s="968"/>
      <c r="AN159" s="968"/>
      <c r="AO159" s="968"/>
      <c r="AP159" s="968"/>
      <c r="AQ159" s="968"/>
      <c r="AR159" s="968"/>
      <c r="AS159" s="968"/>
      <c r="AT159" s="968"/>
      <c r="AU159" s="968"/>
      <c r="AV159" s="968"/>
      <c r="AW159" s="968"/>
      <c r="AX159" s="968"/>
      <c r="AY159" s="968"/>
      <c r="AZ159" s="968"/>
      <c r="BA159" s="968"/>
      <c r="BB159" s="968"/>
      <c r="BC159" s="968"/>
      <c r="BD159" s="968"/>
      <c r="BE159" s="968"/>
      <c r="BF159" s="968"/>
      <c r="BG159" s="968"/>
      <c r="BH159" s="968"/>
      <c r="BI159" s="968"/>
      <c r="BJ159" s="968"/>
      <c r="BK159" s="913"/>
      <c r="BL159" s="913"/>
    </row>
    <row r="160" spans="1:64" s="371" customFormat="1" x14ac:dyDescent="0.3">
      <c r="A160" s="949">
        <v>510</v>
      </c>
      <c r="B160" s="1017"/>
      <c r="C160" s="948">
        <v>510</v>
      </c>
      <c r="D160" s="998" t="e">
        <v>#VALUE!</v>
      </c>
      <c r="E160" s="998"/>
      <c r="F160" s="965"/>
      <c r="G160" s="966"/>
      <c r="H160" s="966"/>
      <c r="I160" s="966"/>
      <c r="J160" s="966"/>
      <c r="K160" s="966"/>
      <c r="L160" s="967"/>
      <c r="M160" s="968"/>
      <c r="N160" s="968"/>
      <c r="O160" s="969"/>
      <c r="P160" s="969"/>
      <c r="Q160" s="969"/>
      <c r="R160" s="969"/>
      <c r="S160" s="969"/>
      <c r="T160" s="969"/>
      <c r="U160" s="969"/>
      <c r="V160" s="969"/>
      <c r="W160" s="969"/>
      <c r="X160" s="969"/>
      <c r="Y160" s="969"/>
      <c r="Z160" s="969"/>
      <c r="AA160" s="969"/>
      <c r="AB160" s="969"/>
      <c r="AC160" s="969"/>
      <c r="AD160" s="968"/>
      <c r="AE160" s="968"/>
      <c r="AF160" s="968"/>
      <c r="AG160" s="968"/>
      <c r="AH160" s="968"/>
      <c r="AI160" s="968"/>
      <c r="AJ160" s="968"/>
      <c r="AK160" s="968"/>
      <c r="AL160" s="968"/>
      <c r="AM160" s="968"/>
      <c r="AN160" s="968"/>
      <c r="AO160" s="968"/>
      <c r="AP160" s="968"/>
      <c r="AQ160" s="968"/>
      <c r="AR160" s="968"/>
      <c r="AS160" s="968"/>
      <c r="AT160" s="968"/>
      <c r="AU160" s="968"/>
      <c r="AV160" s="968"/>
      <c r="AW160" s="968"/>
      <c r="AX160" s="968"/>
      <c r="AY160" s="968"/>
      <c r="AZ160" s="968"/>
      <c r="BA160" s="968"/>
      <c r="BB160" s="968"/>
      <c r="BC160" s="968"/>
      <c r="BD160" s="968"/>
      <c r="BE160" s="968"/>
      <c r="BF160" s="968"/>
      <c r="BG160" s="968"/>
      <c r="BH160" s="968"/>
      <c r="BI160" s="968"/>
      <c r="BJ160" s="968"/>
      <c r="BK160" s="913"/>
      <c r="BL160" s="913"/>
    </row>
    <row r="161" spans="1:64" s="371" customFormat="1" x14ac:dyDescent="0.3">
      <c r="A161" s="949">
        <v>511</v>
      </c>
      <c r="B161" s="1017"/>
      <c r="C161" s="948">
        <v>511</v>
      </c>
      <c r="D161" s="998" t="e">
        <v>#VALUE!</v>
      </c>
      <c r="E161" s="998"/>
      <c r="F161" s="965"/>
      <c r="G161" s="966"/>
      <c r="H161" s="966"/>
      <c r="I161" s="966"/>
      <c r="J161" s="966"/>
      <c r="K161" s="966"/>
      <c r="L161" s="967"/>
      <c r="M161" s="968"/>
      <c r="N161" s="968"/>
      <c r="O161" s="969"/>
      <c r="P161" s="969"/>
      <c r="Q161" s="969"/>
      <c r="R161" s="969"/>
      <c r="S161" s="969"/>
      <c r="T161" s="969"/>
      <c r="U161" s="969"/>
      <c r="V161" s="969"/>
      <c r="W161" s="969"/>
      <c r="X161" s="969"/>
      <c r="Y161" s="969"/>
      <c r="Z161" s="969"/>
      <c r="AA161" s="969"/>
      <c r="AB161" s="969"/>
      <c r="AC161" s="969"/>
      <c r="AD161" s="968"/>
      <c r="AE161" s="968"/>
      <c r="AF161" s="968"/>
      <c r="AG161" s="968"/>
      <c r="AH161" s="968"/>
      <c r="AI161" s="968"/>
      <c r="AJ161" s="968"/>
      <c r="AK161" s="968"/>
      <c r="AL161" s="968"/>
      <c r="AM161" s="968"/>
      <c r="AN161" s="968"/>
      <c r="AO161" s="968"/>
      <c r="AP161" s="968"/>
      <c r="AQ161" s="968"/>
      <c r="AR161" s="968"/>
      <c r="AS161" s="968"/>
      <c r="AT161" s="968"/>
      <c r="AU161" s="968"/>
      <c r="AV161" s="968"/>
      <c r="AW161" s="968"/>
      <c r="AX161" s="968"/>
      <c r="AY161" s="968"/>
      <c r="AZ161" s="968"/>
      <c r="BA161" s="968"/>
      <c r="BB161" s="968"/>
      <c r="BC161" s="968"/>
      <c r="BD161" s="968"/>
      <c r="BE161" s="968"/>
      <c r="BF161" s="968"/>
      <c r="BG161" s="968"/>
      <c r="BH161" s="968"/>
      <c r="BI161" s="968"/>
      <c r="BJ161" s="968"/>
      <c r="BK161" s="913"/>
      <c r="BL161" s="913"/>
    </row>
    <row r="162" spans="1:64" s="371" customFormat="1" x14ac:dyDescent="0.3">
      <c r="A162" s="949">
        <v>512</v>
      </c>
      <c r="B162" s="1017">
        <v>512</v>
      </c>
      <c r="C162" s="948">
        <v>512</v>
      </c>
      <c r="D162" s="998" t="s">
        <v>251</v>
      </c>
      <c r="E162" s="998"/>
      <c r="F162" s="965">
        <v>0</v>
      </c>
      <c r="G162" s="966">
        <v>0</v>
      </c>
      <c r="H162" s="966">
        <v>1450941</v>
      </c>
      <c r="I162" s="966">
        <v>0</v>
      </c>
      <c r="J162" s="966">
        <v>0</v>
      </c>
      <c r="K162" s="966">
        <v>123012</v>
      </c>
      <c r="L162" s="967">
        <v>0</v>
      </c>
      <c r="M162" s="968">
        <v>0</v>
      </c>
      <c r="N162" s="968">
        <v>0</v>
      </c>
      <c r="O162" s="969">
        <v>0</v>
      </c>
      <c r="P162" s="969">
        <v>0</v>
      </c>
      <c r="Q162" s="969">
        <v>358740</v>
      </c>
      <c r="R162" s="969">
        <v>219660</v>
      </c>
      <c r="S162" s="969">
        <v>21959</v>
      </c>
      <c r="T162" s="969">
        <v>0</v>
      </c>
      <c r="U162" s="969">
        <v>0</v>
      </c>
      <c r="V162" s="969">
        <v>0</v>
      </c>
      <c r="W162" s="969">
        <v>234354</v>
      </c>
      <c r="X162" s="969">
        <v>26974</v>
      </c>
      <c r="Y162" s="969">
        <v>156503</v>
      </c>
      <c r="Z162" s="969">
        <v>116578</v>
      </c>
      <c r="AA162" s="969">
        <v>0</v>
      </c>
      <c r="AB162" s="969">
        <v>0</v>
      </c>
      <c r="AC162" s="969">
        <v>0</v>
      </c>
      <c r="AD162" s="968">
        <v>208960</v>
      </c>
      <c r="AE162" s="968">
        <v>0</v>
      </c>
      <c r="AF162" s="968">
        <v>0</v>
      </c>
      <c r="AG162" s="968">
        <v>0</v>
      </c>
      <c r="AH162" s="968">
        <v>0</v>
      </c>
      <c r="AI162" s="968">
        <v>101515</v>
      </c>
      <c r="AJ162" s="968">
        <v>0</v>
      </c>
      <c r="AK162" s="968">
        <v>115314</v>
      </c>
      <c r="AL162" s="968">
        <v>0</v>
      </c>
      <c r="AM162" s="968">
        <v>244508</v>
      </c>
      <c r="AN162" s="968">
        <v>4495</v>
      </c>
      <c r="AO162" s="968">
        <v>126721</v>
      </c>
      <c r="AP162" s="968">
        <v>0</v>
      </c>
      <c r="AQ162" s="968">
        <v>0</v>
      </c>
      <c r="AR162" s="968">
        <v>0</v>
      </c>
      <c r="AS162" s="968">
        <v>0</v>
      </c>
      <c r="AT162" s="968">
        <v>0</v>
      </c>
      <c r="AU162" s="968">
        <v>354069</v>
      </c>
      <c r="AV162" s="968">
        <v>0</v>
      </c>
      <c r="AW162" s="968">
        <v>0</v>
      </c>
      <c r="AX162" s="968">
        <v>0</v>
      </c>
      <c r="AY162" s="968">
        <v>0</v>
      </c>
      <c r="AZ162" s="968">
        <v>0</v>
      </c>
      <c r="BA162" s="968">
        <v>15908</v>
      </c>
      <c r="BB162" s="968">
        <v>131015</v>
      </c>
      <c r="BC162" s="968">
        <v>470318</v>
      </c>
      <c r="BD162" s="968">
        <v>0</v>
      </c>
      <c r="BE162" s="968">
        <v>157363</v>
      </c>
      <c r="BF162" s="968">
        <v>57577</v>
      </c>
      <c r="BG162" s="968">
        <v>135563</v>
      </c>
      <c r="BH162" s="968">
        <v>0</v>
      </c>
      <c r="BI162" s="968">
        <v>0</v>
      </c>
      <c r="BJ162" s="968">
        <v>147665</v>
      </c>
      <c r="BK162" s="913"/>
      <c r="BL162" s="913"/>
    </row>
    <row r="163" spans="1:64" s="371" customFormat="1" x14ac:dyDescent="0.3">
      <c r="A163" s="949">
        <v>513</v>
      </c>
      <c r="B163" s="1017"/>
      <c r="C163" s="948">
        <v>513</v>
      </c>
      <c r="D163" s="998" t="e">
        <v>#VALUE!</v>
      </c>
      <c r="E163" s="998"/>
      <c r="F163" s="965"/>
      <c r="G163" s="966"/>
      <c r="H163" s="966"/>
      <c r="I163" s="966"/>
      <c r="J163" s="966"/>
      <c r="K163" s="966"/>
      <c r="L163" s="967"/>
      <c r="M163" s="968"/>
      <c r="N163" s="968"/>
      <c r="O163" s="969"/>
      <c r="P163" s="969"/>
      <c r="Q163" s="969"/>
      <c r="R163" s="969"/>
      <c r="S163" s="969"/>
      <c r="T163" s="969"/>
      <c r="U163" s="969"/>
      <c r="V163" s="969"/>
      <c r="W163" s="969"/>
      <c r="X163" s="969"/>
      <c r="Y163" s="969"/>
      <c r="Z163" s="969"/>
      <c r="AA163" s="969"/>
      <c r="AB163" s="969"/>
      <c r="AC163" s="969"/>
      <c r="AD163" s="968"/>
      <c r="AE163" s="968"/>
      <c r="AF163" s="968"/>
      <c r="AG163" s="968"/>
      <c r="AH163" s="968"/>
      <c r="AI163" s="968"/>
      <c r="AJ163" s="968"/>
      <c r="AK163" s="968"/>
      <c r="AL163" s="968"/>
      <c r="AM163" s="968"/>
      <c r="AN163" s="968"/>
      <c r="AO163" s="968"/>
      <c r="AP163" s="968"/>
      <c r="AQ163" s="968"/>
      <c r="AR163" s="968"/>
      <c r="AS163" s="968"/>
      <c r="AT163" s="968"/>
      <c r="AU163" s="968"/>
      <c r="AV163" s="968"/>
      <c r="AW163" s="968"/>
      <c r="AX163" s="968"/>
      <c r="AY163" s="968"/>
      <c r="AZ163" s="968"/>
      <c r="BA163" s="968"/>
      <c r="BB163" s="968"/>
      <c r="BC163" s="968"/>
      <c r="BD163" s="968"/>
      <c r="BE163" s="968"/>
      <c r="BF163" s="968"/>
      <c r="BG163" s="968"/>
      <c r="BH163" s="968"/>
      <c r="BI163" s="968"/>
      <c r="BJ163" s="968"/>
      <c r="BK163" s="913"/>
      <c r="BL163" s="913"/>
    </row>
    <row r="164" spans="1:64" s="371" customFormat="1" x14ac:dyDescent="0.3">
      <c r="A164" s="949">
        <v>514</v>
      </c>
      <c r="B164" s="1017"/>
      <c r="C164" s="948">
        <v>514</v>
      </c>
      <c r="D164" s="998" t="e">
        <v>#VALUE!</v>
      </c>
      <c r="E164" s="998"/>
      <c r="F164" s="965"/>
      <c r="G164" s="966"/>
      <c r="H164" s="966"/>
      <c r="I164" s="966"/>
      <c r="J164" s="966"/>
      <c r="K164" s="966"/>
      <c r="L164" s="967"/>
      <c r="M164" s="968"/>
      <c r="N164" s="968"/>
      <c r="O164" s="969"/>
      <c r="P164" s="969"/>
      <c r="Q164" s="969"/>
      <c r="R164" s="969"/>
      <c r="S164" s="969"/>
      <c r="T164" s="969"/>
      <c r="U164" s="969"/>
      <c r="V164" s="969"/>
      <c r="W164" s="969"/>
      <c r="X164" s="969"/>
      <c r="Y164" s="969"/>
      <c r="Z164" s="969"/>
      <c r="AA164" s="969"/>
      <c r="AB164" s="969"/>
      <c r="AC164" s="969"/>
      <c r="AD164" s="968"/>
      <c r="AE164" s="968"/>
      <c r="AF164" s="968"/>
      <c r="AG164" s="968"/>
      <c r="AH164" s="968"/>
      <c r="AI164" s="968"/>
      <c r="AJ164" s="968"/>
      <c r="AK164" s="968"/>
      <c r="AL164" s="968"/>
      <c r="AM164" s="968"/>
      <c r="AN164" s="968"/>
      <c r="AO164" s="968"/>
      <c r="AP164" s="968"/>
      <c r="AQ164" s="968"/>
      <c r="AR164" s="968"/>
      <c r="AS164" s="968"/>
      <c r="AT164" s="968"/>
      <c r="AU164" s="968"/>
      <c r="AV164" s="968"/>
      <c r="AW164" s="968"/>
      <c r="AX164" s="968"/>
      <c r="AY164" s="968"/>
      <c r="AZ164" s="968"/>
      <c r="BA164" s="968"/>
      <c r="BB164" s="968"/>
      <c r="BC164" s="968"/>
      <c r="BD164" s="968"/>
      <c r="BE164" s="968"/>
      <c r="BF164" s="968"/>
      <c r="BG164" s="968"/>
      <c r="BH164" s="968"/>
      <c r="BI164" s="968"/>
      <c r="BJ164" s="968"/>
      <c r="BK164" s="913"/>
      <c r="BL164" s="913"/>
    </row>
    <row r="165" spans="1:64" s="371" customFormat="1" x14ac:dyDescent="0.3">
      <c r="A165" s="949">
        <v>515</v>
      </c>
      <c r="B165" s="1017"/>
      <c r="C165" s="948">
        <v>515</v>
      </c>
      <c r="D165" s="998" t="e">
        <v>#VALUE!</v>
      </c>
      <c r="E165" s="998"/>
      <c r="F165" s="965"/>
      <c r="G165" s="966"/>
      <c r="H165" s="966"/>
      <c r="I165" s="966"/>
      <c r="J165" s="966"/>
      <c r="K165" s="966"/>
      <c r="L165" s="967"/>
      <c r="M165" s="968"/>
      <c r="N165" s="968"/>
      <c r="O165" s="969"/>
      <c r="P165" s="969"/>
      <c r="Q165" s="969"/>
      <c r="R165" s="969"/>
      <c r="S165" s="969"/>
      <c r="T165" s="969"/>
      <c r="U165" s="969"/>
      <c r="V165" s="969"/>
      <c r="W165" s="969"/>
      <c r="X165" s="969"/>
      <c r="Y165" s="969"/>
      <c r="Z165" s="969"/>
      <c r="AA165" s="969"/>
      <c r="AB165" s="969"/>
      <c r="AC165" s="969"/>
      <c r="AD165" s="968"/>
      <c r="AE165" s="968"/>
      <c r="AF165" s="968"/>
      <c r="AG165" s="968"/>
      <c r="AH165" s="968"/>
      <c r="AI165" s="968"/>
      <c r="AJ165" s="968"/>
      <c r="AK165" s="968"/>
      <c r="AL165" s="968"/>
      <c r="AM165" s="968"/>
      <c r="AN165" s="968"/>
      <c r="AO165" s="968"/>
      <c r="AP165" s="968"/>
      <c r="AQ165" s="968"/>
      <c r="AR165" s="968"/>
      <c r="AS165" s="968"/>
      <c r="AT165" s="968"/>
      <c r="AU165" s="968"/>
      <c r="AV165" s="968"/>
      <c r="AW165" s="968"/>
      <c r="AX165" s="968"/>
      <c r="AY165" s="968"/>
      <c r="AZ165" s="968"/>
      <c r="BA165" s="968"/>
      <c r="BB165" s="968"/>
      <c r="BC165" s="968"/>
      <c r="BD165" s="968"/>
      <c r="BE165" s="968"/>
      <c r="BF165" s="968"/>
      <c r="BG165" s="968"/>
      <c r="BH165" s="968"/>
      <c r="BI165" s="968"/>
      <c r="BJ165" s="968"/>
      <c r="BK165" s="913"/>
      <c r="BL165" s="913"/>
    </row>
    <row r="166" spans="1:64" s="371" customFormat="1" x14ac:dyDescent="0.3">
      <c r="A166" s="949">
        <v>516</v>
      </c>
      <c r="B166" s="1017"/>
      <c r="C166" s="948">
        <v>516</v>
      </c>
      <c r="D166" s="998" t="e">
        <v>#VALUE!</v>
      </c>
      <c r="E166" s="998"/>
      <c r="F166" s="965"/>
      <c r="G166" s="966"/>
      <c r="H166" s="966"/>
      <c r="I166" s="966"/>
      <c r="J166" s="966"/>
      <c r="K166" s="966"/>
      <c r="L166" s="967"/>
      <c r="M166" s="968"/>
      <c r="N166" s="968"/>
      <c r="O166" s="969"/>
      <c r="P166" s="969"/>
      <c r="Q166" s="969"/>
      <c r="R166" s="969"/>
      <c r="S166" s="969"/>
      <c r="T166" s="969"/>
      <c r="U166" s="969"/>
      <c r="V166" s="969"/>
      <c r="W166" s="969"/>
      <c r="X166" s="969"/>
      <c r="Y166" s="969"/>
      <c r="Z166" s="969"/>
      <c r="AA166" s="969"/>
      <c r="AB166" s="969"/>
      <c r="AC166" s="969"/>
      <c r="AD166" s="968"/>
      <c r="AE166" s="968"/>
      <c r="AF166" s="968"/>
      <c r="AG166" s="968"/>
      <c r="AH166" s="968"/>
      <c r="AI166" s="968"/>
      <c r="AJ166" s="968"/>
      <c r="AK166" s="968"/>
      <c r="AL166" s="968"/>
      <c r="AM166" s="968"/>
      <c r="AN166" s="968"/>
      <c r="AO166" s="968"/>
      <c r="AP166" s="968"/>
      <c r="AQ166" s="968"/>
      <c r="AR166" s="968"/>
      <c r="AS166" s="968"/>
      <c r="AT166" s="968"/>
      <c r="AU166" s="968"/>
      <c r="AV166" s="968"/>
      <c r="AW166" s="968"/>
      <c r="AX166" s="968"/>
      <c r="AY166" s="968"/>
      <c r="AZ166" s="968"/>
      <c r="BA166" s="968"/>
      <c r="BB166" s="968"/>
      <c r="BC166" s="968"/>
      <c r="BD166" s="968"/>
      <c r="BE166" s="968"/>
      <c r="BF166" s="968"/>
      <c r="BG166" s="968"/>
      <c r="BH166" s="968"/>
      <c r="BI166" s="968"/>
      <c r="BJ166" s="968"/>
      <c r="BK166" s="913"/>
      <c r="BL166" s="913"/>
    </row>
    <row r="167" spans="1:64" s="371" customFormat="1" x14ac:dyDescent="0.3">
      <c r="A167" s="949">
        <v>517</v>
      </c>
      <c r="B167" s="1017"/>
      <c r="C167" s="948">
        <v>517</v>
      </c>
      <c r="D167" s="998" t="e">
        <v>#VALUE!</v>
      </c>
      <c r="E167" s="998"/>
      <c r="F167" s="965"/>
      <c r="G167" s="966"/>
      <c r="H167" s="966"/>
      <c r="I167" s="966"/>
      <c r="J167" s="966"/>
      <c r="K167" s="966"/>
      <c r="L167" s="967"/>
      <c r="M167" s="968"/>
      <c r="N167" s="968"/>
      <c r="O167" s="969"/>
      <c r="P167" s="969"/>
      <c r="Q167" s="969"/>
      <c r="R167" s="969"/>
      <c r="S167" s="969"/>
      <c r="T167" s="969"/>
      <c r="U167" s="969"/>
      <c r="V167" s="969"/>
      <c r="W167" s="969"/>
      <c r="X167" s="969"/>
      <c r="Y167" s="969"/>
      <c r="Z167" s="969"/>
      <c r="AA167" s="969"/>
      <c r="AB167" s="969"/>
      <c r="AC167" s="969"/>
      <c r="AD167" s="968"/>
      <c r="AE167" s="968"/>
      <c r="AF167" s="968"/>
      <c r="AG167" s="968"/>
      <c r="AH167" s="968"/>
      <c r="AI167" s="968"/>
      <c r="AJ167" s="968"/>
      <c r="AK167" s="968"/>
      <c r="AL167" s="968"/>
      <c r="AM167" s="968"/>
      <c r="AN167" s="968"/>
      <c r="AO167" s="968"/>
      <c r="AP167" s="968"/>
      <c r="AQ167" s="968"/>
      <c r="AR167" s="968"/>
      <c r="AS167" s="968"/>
      <c r="AT167" s="968"/>
      <c r="AU167" s="968"/>
      <c r="AV167" s="968"/>
      <c r="AW167" s="968"/>
      <c r="AX167" s="968"/>
      <c r="AY167" s="968"/>
      <c r="AZ167" s="968"/>
      <c r="BA167" s="968"/>
      <c r="BB167" s="968"/>
      <c r="BC167" s="968"/>
      <c r="BD167" s="968"/>
      <c r="BE167" s="968"/>
      <c r="BF167" s="968"/>
      <c r="BG167" s="968"/>
      <c r="BH167" s="968"/>
      <c r="BI167" s="968"/>
      <c r="BJ167" s="968"/>
      <c r="BK167" s="913"/>
      <c r="BL167" s="913"/>
    </row>
    <row r="168" spans="1:64" s="371" customFormat="1" x14ac:dyDescent="0.3">
      <c r="A168" s="949">
        <v>518</v>
      </c>
      <c r="B168" s="1017"/>
      <c r="C168" s="948">
        <v>518</v>
      </c>
      <c r="D168" s="998" t="e">
        <v>#VALUE!</v>
      </c>
      <c r="E168" s="998"/>
      <c r="F168" s="965"/>
      <c r="G168" s="966"/>
      <c r="H168" s="966"/>
      <c r="I168" s="966"/>
      <c r="J168" s="966"/>
      <c r="K168" s="966"/>
      <c r="L168" s="967"/>
      <c r="M168" s="968"/>
      <c r="N168" s="968"/>
      <c r="O168" s="969"/>
      <c r="P168" s="969"/>
      <c r="Q168" s="969"/>
      <c r="R168" s="969"/>
      <c r="S168" s="969"/>
      <c r="T168" s="969"/>
      <c r="U168" s="969"/>
      <c r="V168" s="969"/>
      <c r="W168" s="969"/>
      <c r="X168" s="969"/>
      <c r="Y168" s="969"/>
      <c r="Z168" s="969"/>
      <c r="AA168" s="969"/>
      <c r="AB168" s="969"/>
      <c r="AC168" s="969"/>
      <c r="AD168" s="968"/>
      <c r="AE168" s="968"/>
      <c r="AF168" s="968"/>
      <c r="AG168" s="968"/>
      <c r="AH168" s="968"/>
      <c r="AI168" s="968"/>
      <c r="AJ168" s="968"/>
      <c r="AK168" s="968"/>
      <c r="AL168" s="968"/>
      <c r="AM168" s="968"/>
      <c r="AN168" s="968"/>
      <c r="AO168" s="968"/>
      <c r="AP168" s="968"/>
      <c r="AQ168" s="968"/>
      <c r="AR168" s="968"/>
      <c r="AS168" s="968"/>
      <c r="AT168" s="968"/>
      <c r="AU168" s="968"/>
      <c r="AV168" s="968"/>
      <c r="AW168" s="968"/>
      <c r="AX168" s="968"/>
      <c r="AY168" s="968"/>
      <c r="AZ168" s="968"/>
      <c r="BA168" s="968"/>
      <c r="BB168" s="968"/>
      <c r="BC168" s="968"/>
      <c r="BD168" s="968"/>
      <c r="BE168" s="968"/>
      <c r="BF168" s="968"/>
      <c r="BG168" s="968"/>
      <c r="BH168" s="968"/>
      <c r="BI168" s="968"/>
      <c r="BJ168" s="968"/>
      <c r="BK168" s="913"/>
      <c r="BL168" s="913"/>
    </row>
    <row r="169" spans="1:64" s="371" customFormat="1" x14ac:dyDescent="0.3">
      <c r="A169" s="949">
        <v>519</v>
      </c>
      <c r="B169" s="1017"/>
      <c r="C169" s="948">
        <v>519</v>
      </c>
      <c r="D169" s="998" t="e">
        <v>#VALUE!</v>
      </c>
      <c r="E169" s="998"/>
      <c r="F169" s="965"/>
      <c r="G169" s="966"/>
      <c r="H169" s="966"/>
      <c r="I169" s="966"/>
      <c r="J169" s="966"/>
      <c r="K169" s="966"/>
      <c r="L169" s="967"/>
      <c r="M169" s="968"/>
      <c r="N169" s="968"/>
      <c r="O169" s="969"/>
      <c r="P169" s="969"/>
      <c r="Q169" s="969"/>
      <c r="R169" s="969"/>
      <c r="S169" s="969"/>
      <c r="T169" s="969"/>
      <c r="U169" s="969"/>
      <c r="V169" s="969"/>
      <c r="W169" s="969"/>
      <c r="X169" s="969"/>
      <c r="Y169" s="969"/>
      <c r="Z169" s="969"/>
      <c r="AA169" s="969"/>
      <c r="AB169" s="969"/>
      <c r="AC169" s="969"/>
      <c r="AD169" s="968"/>
      <c r="AE169" s="968"/>
      <c r="AF169" s="968"/>
      <c r="AG169" s="968"/>
      <c r="AH169" s="968"/>
      <c r="AI169" s="968"/>
      <c r="AJ169" s="968"/>
      <c r="AK169" s="968"/>
      <c r="AL169" s="968"/>
      <c r="AM169" s="968"/>
      <c r="AN169" s="968"/>
      <c r="AO169" s="968"/>
      <c r="AP169" s="968"/>
      <c r="AQ169" s="968"/>
      <c r="AR169" s="968"/>
      <c r="AS169" s="968"/>
      <c r="AT169" s="968"/>
      <c r="AU169" s="968"/>
      <c r="AV169" s="968"/>
      <c r="AW169" s="968"/>
      <c r="AX169" s="968"/>
      <c r="AY169" s="968"/>
      <c r="AZ169" s="968"/>
      <c r="BA169" s="968"/>
      <c r="BB169" s="968"/>
      <c r="BC169" s="968"/>
      <c r="BD169" s="968"/>
      <c r="BE169" s="968"/>
      <c r="BF169" s="968"/>
      <c r="BG169" s="968"/>
      <c r="BH169" s="968"/>
      <c r="BI169" s="968"/>
      <c r="BJ169" s="968"/>
      <c r="BK169" s="913"/>
      <c r="BL169" s="913"/>
    </row>
    <row r="170" spans="1:64" s="371" customFormat="1" x14ac:dyDescent="0.3">
      <c r="A170" s="949">
        <v>520</v>
      </c>
      <c r="B170" s="1017"/>
      <c r="C170" s="948">
        <v>520</v>
      </c>
      <c r="D170" s="998" t="e">
        <v>#VALUE!</v>
      </c>
      <c r="E170" s="998"/>
      <c r="F170" s="965"/>
      <c r="G170" s="966"/>
      <c r="H170" s="966"/>
      <c r="I170" s="966"/>
      <c r="J170" s="966"/>
      <c r="K170" s="966"/>
      <c r="L170" s="967"/>
      <c r="M170" s="968"/>
      <c r="N170" s="968"/>
      <c r="O170" s="969"/>
      <c r="P170" s="969"/>
      <c r="Q170" s="969"/>
      <c r="R170" s="969"/>
      <c r="S170" s="969"/>
      <c r="T170" s="969"/>
      <c r="U170" s="969"/>
      <c r="V170" s="969"/>
      <c r="W170" s="969"/>
      <c r="X170" s="969"/>
      <c r="Y170" s="969"/>
      <c r="Z170" s="969"/>
      <c r="AA170" s="969"/>
      <c r="AB170" s="969"/>
      <c r="AC170" s="969"/>
      <c r="AD170" s="968"/>
      <c r="AE170" s="968"/>
      <c r="AF170" s="968"/>
      <c r="AG170" s="968"/>
      <c r="AH170" s="968"/>
      <c r="AI170" s="968"/>
      <c r="AJ170" s="968"/>
      <c r="AK170" s="968"/>
      <c r="AL170" s="968"/>
      <c r="AM170" s="968"/>
      <c r="AN170" s="968"/>
      <c r="AO170" s="968"/>
      <c r="AP170" s="968"/>
      <c r="AQ170" s="968"/>
      <c r="AR170" s="968"/>
      <c r="AS170" s="968"/>
      <c r="AT170" s="968"/>
      <c r="AU170" s="968"/>
      <c r="AV170" s="968"/>
      <c r="AW170" s="968"/>
      <c r="AX170" s="968"/>
      <c r="AY170" s="968"/>
      <c r="AZ170" s="968"/>
      <c r="BA170" s="968"/>
      <c r="BB170" s="968"/>
      <c r="BC170" s="968"/>
      <c r="BD170" s="968"/>
      <c r="BE170" s="968"/>
      <c r="BF170" s="968"/>
      <c r="BG170" s="968"/>
      <c r="BH170" s="968"/>
      <c r="BI170" s="968"/>
      <c r="BJ170" s="968"/>
      <c r="BK170" s="913"/>
      <c r="BL170" s="913"/>
    </row>
    <row r="171" spans="1:64" s="371" customFormat="1" x14ac:dyDescent="0.3">
      <c r="A171" s="949">
        <v>521</v>
      </c>
      <c r="B171" s="1017"/>
      <c r="C171" s="948">
        <v>521</v>
      </c>
      <c r="D171" s="998" t="e">
        <v>#VALUE!</v>
      </c>
      <c r="E171" s="998"/>
      <c r="F171" s="965"/>
      <c r="G171" s="966"/>
      <c r="H171" s="966"/>
      <c r="I171" s="966"/>
      <c r="J171" s="966"/>
      <c r="K171" s="966"/>
      <c r="L171" s="967"/>
      <c r="M171" s="968"/>
      <c r="N171" s="968"/>
      <c r="O171" s="969"/>
      <c r="P171" s="969"/>
      <c r="Q171" s="969"/>
      <c r="R171" s="969"/>
      <c r="S171" s="969"/>
      <c r="T171" s="969"/>
      <c r="U171" s="969"/>
      <c r="V171" s="969"/>
      <c r="W171" s="969"/>
      <c r="X171" s="969"/>
      <c r="Y171" s="969"/>
      <c r="Z171" s="969"/>
      <c r="AA171" s="969"/>
      <c r="AB171" s="969"/>
      <c r="AC171" s="969"/>
      <c r="AD171" s="968"/>
      <c r="AE171" s="968"/>
      <c r="AF171" s="968"/>
      <c r="AG171" s="968"/>
      <c r="AH171" s="968"/>
      <c r="AI171" s="968"/>
      <c r="AJ171" s="968"/>
      <c r="AK171" s="968"/>
      <c r="AL171" s="968"/>
      <c r="AM171" s="968"/>
      <c r="AN171" s="968"/>
      <c r="AO171" s="968"/>
      <c r="AP171" s="968"/>
      <c r="AQ171" s="968"/>
      <c r="AR171" s="968"/>
      <c r="AS171" s="968"/>
      <c r="AT171" s="968"/>
      <c r="AU171" s="968"/>
      <c r="AV171" s="968"/>
      <c r="AW171" s="968"/>
      <c r="AX171" s="968"/>
      <c r="AY171" s="968"/>
      <c r="AZ171" s="968"/>
      <c r="BA171" s="968"/>
      <c r="BB171" s="968"/>
      <c r="BC171" s="968"/>
      <c r="BD171" s="968"/>
      <c r="BE171" s="968"/>
      <c r="BF171" s="968"/>
      <c r="BG171" s="968"/>
      <c r="BH171" s="968"/>
      <c r="BI171" s="968"/>
      <c r="BJ171" s="968"/>
      <c r="BK171" s="913"/>
      <c r="BL171" s="913"/>
    </row>
    <row r="172" spans="1:64" s="371" customFormat="1" x14ac:dyDescent="0.3">
      <c r="A172" s="949">
        <v>522</v>
      </c>
      <c r="B172" s="1017"/>
      <c r="C172" s="948">
        <v>522</v>
      </c>
      <c r="D172" s="998" t="e">
        <v>#VALUE!</v>
      </c>
      <c r="E172" s="998"/>
      <c r="F172" s="965"/>
      <c r="G172" s="966"/>
      <c r="H172" s="966"/>
      <c r="I172" s="966"/>
      <c r="J172" s="966"/>
      <c r="K172" s="966"/>
      <c r="L172" s="967"/>
      <c r="M172" s="968"/>
      <c r="N172" s="968"/>
      <c r="O172" s="969"/>
      <c r="P172" s="969"/>
      <c r="Q172" s="969"/>
      <c r="R172" s="969"/>
      <c r="S172" s="969"/>
      <c r="T172" s="969"/>
      <c r="U172" s="969"/>
      <c r="V172" s="969"/>
      <c r="W172" s="969"/>
      <c r="X172" s="969"/>
      <c r="Y172" s="969"/>
      <c r="Z172" s="969"/>
      <c r="AA172" s="969"/>
      <c r="AB172" s="969"/>
      <c r="AC172" s="969"/>
      <c r="AD172" s="968"/>
      <c r="AE172" s="968"/>
      <c r="AF172" s="968"/>
      <c r="AG172" s="968"/>
      <c r="AH172" s="968"/>
      <c r="AI172" s="968"/>
      <c r="AJ172" s="968"/>
      <c r="AK172" s="968"/>
      <c r="AL172" s="968"/>
      <c r="AM172" s="968"/>
      <c r="AN172" s="968"/>
      <c r="AO172" s="968"/>
      <c r="AP172" s="968"/>
      <c r="AQ172" s="968"/>
      <c r="AR172" s="968"/>
      <c r="AS172" s="968"/>
      <c r="AT172" s="968"/>
      <c r="AU172" s="968"/>
      <c r="AV172" s="968"/>
      <c r="AW172" s="968"/>
      <c r="AX172" s="968"/>
      <c r="AY172" s="968"/>
      <c r="AZ172" s="968"/>
      <c r="BA172" s="968"/>
      <c r="BB172" s="968"/>
      <c r="BC172" s="968"/>
      <c r="BD172" s="968"/>
      <c r="BE172" s="968"/>
      <c r="BF172" s="968"/>
      <c r="BG172" s="968"/>
      <c r="BH172" s="968"/>
      <c r="BI172" s="968"/>
      <c r="BJ172" s="968"/>
      <c r="BK172" s="913"/>
      <c r="BL172" s="913"/>
    </row>
    <row r="173" spans="1:64" s="371" customFormat="1" x14ac:dyDescent="0.3">
      <c r="A173" s="949">
        <v>523</v>
      </c>
      <c r="B173" s="1017"/>
      <c r="C173" s="948">
        <v>523</v>
      </c>
      <c r="D173" s="998" t="e">
        <v>#VALUE!</v>
      </c>
      <c r="E173" s="998"/>
      <c r="F173" s="965"/>
      <c r="G173" s="966"/>
      <c r="H173" s="966"/>
      <c r="I173" s="966"/>
      <c r="J173" s="966"/>
      <c r="K173" s="966"/>
      <c r="L173" s="967"/>
      <c r="M173" s="968"/>
      <c r="N173" s="968"/>
      <c r="O173" s="969"/>
      <c r="P173" s="969"/>
      <c r="Q173" s="969"/>
      <c r="R173" s="969"/>
      <c r="S173" s="969"/>
      <c r="T173" s="969"/>
      <c r="U173" s="969"/>
      <c r="V173" s="969"/>
      <c r="W173" s="969"/>
      <c r="X173" s="969"/>
      <c r="Y173" s="969"/>
      <c r="Z173" s="969"/>
      <c r="AA173" s="969"/>
      <c r="AB173" s="969"/>
      <c r="AC173" s="969"/>
      <c r="AD173" s="968"/>
      <c r="AE173" s="968"/>
      <c r="AF173" s="968"/>
      <c r="AG173" s="968"/>
      <c r="AH173" s="968"/>
      <c r="AI173" s="968"/>
      <c r="AJ173" s="968"/>
      <c r="AK173" s="968"/>
      <c r="AL173" s="968"/>
      <c r="AM173" s="968"/>
      <c r="AN173" s="968"/>
      <c r="AO173" s="968"/>
      <c r="AP173" s="968"/>
      <c r="AQ173" s="968"/>
      <c r="AR173" s="968"/>
      <c r="AS173" s="968"/>
      <c r="AT173" s="968"/>
      <c r="AU173" s="968"/>
      <c r="AV173" s="968"/>
      <c r="AW173" s="968"/>
      <c r="AX173" s="968"/>
      <c r="AY173" s="968"/>
      <c r="AZ173" s="968"/>
      <c r="BA173" s="968"/>
      <c r="BB173" s="968"/>
      <c r="BC173" s="968"/>
      <c r="BD173" s="968"/>
      <c r="BE173" s="968"/>
      <c r="BF173" s="968"/>
      <c r="BG173" s="968"/>
      <c r="BH173" s="968"/>
      <c r="BI173" s="968"/>
      <c r="BJ173" s="968"/>
      <c r="BK173" s="913"/>
      <c r="BL173" s="913"/>
    </row>
    <row r="174" spans="1:64" s="371" customFormat="1" x14ac:dyDescent="0.3">
      <c r="A174" s="949">
        <v>524</v>
      </c>
      <c r="B174" s="1017"/>
      <c r="C174" s="948">
        <v>524</v>
      </c>
      <c r="D174" s="998" t="e">
        <v>#VALUE!</v>
      </c>
      <c r="E174" s="998"/>
      <c r="F174" s="965"/>
      <c r="G174" s="966"/>
      <c r="H174" s="966"/>
      <c r="I174" s="966"/>
      <c r="J174" s="966"/>
      <c r="K174" s="966"/>
      <c r="L174" s="967"/>
      <c r="M174" s="968"/>
      <c r="N174" s="968"/>
      <c r="O174" s="969"/>
      <c r="P174" s="969"/>
      <c r="Q174" s="969"/>
      <c r="R174" s="969"/>
      <c r="S174" s="969"/>
      <c r="T174" s="969"/>
      <c r="U174" s="969"/>
      <c r="V174" s="969"/>
      <c r="W174" s="969"/>
      <c r="X174" s="969"/>
      <c r="Y174" s="969"/>
      <c r="Z174" s="969"/>
      <c r="AA174" s="969"/>
      <c r="AB174" s="969"/>
      <c r="AC174" s="969"/>
      <c r="AD174" s="968"/>
      <c r="AE174" s="968"/>
      <c r="AF174" s="968"/>
      <c r="AG174" s="968"/>
      <c r="AH174" s="968"/>
      <c r="AI174" s="968"/>
      <c r="AJ174" s="968"/>
      <c r="AK174" s="968"/>
      <c r="AL174" s="968"/>
      <c r="AM174" s="968"/>
      <c r="AN174" s="968"/>
      <c r="AO174" s="968"/>
      <c r="AP174" s="968"/>
      <c r="AQ174" s="968"/>
      <c r="AR174" s="968"/>
      <c r="AS174" s="968"/>
      <c r="AT174" s="968"/>
      <c r="AU174" s="968"/>
      <c r="AV174" s="968"/>
      <c r="AW174" s="968"/>
      <c r="AX174" s="968"/>
      <c r="AY174" s="968"/>
      <c r="AZ174" s="968"/>
      <c r="BA174" s="968"/>
      <c r="BB174" s="968"/>
      <c r="BC174" s="968"/>
      <c r="BD174" s="968"/>
      <c r="BE174" s="968"/>
      <c r="BF174" s="968"/>
      <c r="BG174" s="968"/>
      <c r="BH174" s="968"/>
      <c r="BI174" s="968"/>
      <c r="BJ174" s="968"/>
      <c r="BK174" s="913"/>
      <c r="BL174" s="913"/>
    </row>
    <row r="175" spans="1:64" s="371" customFormat="1" x14ac:dyDescent="0.3">
      <c r="A175" s="949">
        <v>525</v>
      </c>
      <c r="B175" s="1017"/>
      <c r="C175" s="948">
        <v>525</v>
      </c>
      <c r="D175" s="998" t="e">
        <v>#VALUE!</v>
      </c>
      <c r="E175" s="998"/>
      <c r="F175" s="965"/>
      <c r="G175" s="966"/>
      <c r="H175" s="966"/>
      <c r="I175" s="966"/>
      <c r="J175" s="966"/>
      <c r="K175" s="966"/>
      <c r="L175" s="967"/>
      <c r="M175" s="968"/>
      <c r="N175" s="968"/>
      <c r="O175" s="969"/>
      <c r="P175" s="969"/>
      <c r="Q175" s="969"/>
      <c r="R175" s="969"/>
      <c r="S175" s="969"/>
      <c r="T175" s="969"/>
      <c r="U175" s="969"/>
      <c r="V175" s="969"/>
      <c r="W175" s="969"/>
      <c r="X175" s="969"/>
      <c r="Y175" s="969"/>
      <c r="Z175" s="969"/>
      <c r="AA175" s="969"/>
      <c r="AB175" s="969"/>
      <c r="AC175" s="969"/>
      <c r="AD175" s="968"/>
      <c r="AE175" s="968"/>
      <c r="AF175" s="968"/>
      <c r="AG175" s="968"/>
      <c r="AH175" s="968"/>
      <c r="AI175" s="968"/>
      <c r="AJ175" s="968"/>
      <c r="AK175" s="968"/>
      <c r="AL175" s="968"/>
      <c r="AM175" s="968"/>
      <c r="AN175" s="968"/>
      <c r="AO175" s="968"/>
      <c r="AP175" s="968"/>
      <c r="AQ175" s="968"/>
      <c r="AR175" s="968"/>
      <c r="AS175" s="968"/>
      <c r="AT175" s="968"/>
      <c r="AU175" s="968"/>
      <c r="AV175" s="968"/>
      <c r="AW175" s="968"/>
      <c r="AX175" s="968"/>
      <c r="AY175" s="968"/>
      <c r="AZ175" s="968"/>
      <c r="BA175" s="968"/>
      <c r="BB175" s="968"/>
      <c r="BC175" s="968"/>
      <c r="BD175" s="968"/>
      <c r="BE175" s="968"/>
      <c r="BF175" s="968"/>
      <c r="BG175" s="968"/>
      <c r="BH175" s="968"/>
      <c r="BI175" s="968"/>
      <c r="BJ175" s="968"/>
      <c r="BK175" s="913"/>
      <c r="BL175" s="913"/>
    </row>
    <row r="176" spans="1:64" s="371" customFormat="1" x14ac:dyDescent="0.3">
      <c r="A176" s="949">
        <v>526</v>
      </c>
      <c r="B176" s="1017"/>
      <c r="C176" s="948">
        <v>526</v>
      </c>
      <c r="D176" s="998" t="e">
        <v>#VALUE!</v>
      </c>
      <c r="E176" s="998"/>
      <c r="F176" s="965"/>
      <c r="G176" s="966"/>
      <c r="H176" s="966"/>
      <c r="I176" s="966"/>
      <c r="J176" s="966"/>
      <c r="K176" s="966"/>
      <c r="L176" s="967"/>
      <c r="M176" s="968"/>
      <c r="N176" s="968"/>
      <c r="O176" s="969"/>
      <c r="P176" s="969"/>
      <c r="Q176" s="969"/>
      <c r="R176" s="969"/>
      <c r="S176" s="969"/>
      <c r="T176" s="969"/>
      <c r="U176" s="969"/>
      <c r="V176" s="969"/>
      <c r="W176" s="969"/>
      <c r="X176" s="969"/>
      <c r="Y176" s="969"/>
      <c r="Z176" s="969"/>
      <c r="AA176" s="969"/>
      <c r="AB176" s="969"/>
      <c r="AC176" s="969"/>
      <c r="AD176" s="968"/>
      <c r="AE176" s="968"/>
      <c r="AF176" s="968"/>
      <c r="AG176" s="968"/>
      <c r="AH176" s="968"/>
      <c r="AI176" s="968"/>
      <c r="AJ176" s="968"/>
      <c r="AK176" s="968"/>
      <c r="AL176" s="968"/>
      <c r="AM176" s="968"/>
      <c r="AN176" s="968"/>
      <c r="AO176" s="968"/>
      <c r="AP176" s="968"/>
      <c r="AQ176" s="968"/>
      <c r="AR176" s="968"/>
      <c r="AS176" s="968"/>
      <c r="AT176" s="968"/>
      <c r="AU176" s="968"/>
      <c r="AV176" s="968"/>
      <c r="AW176" s="968"/>
      <c r="AX176" s="968"/>
      <c r="AY176" s="968"/>
      <c r="AZ176" s="968"/>
      <c r="BA176" s="968"/>
      <c r="BB176" s="968"/>
      <c r="BC176" s="968"/>
      <c r="BD176" s="968"/>
      <c r="BE176" s="968"/>
      <c r="BF176" s="968"/>
      <c r="BG176" s="968"/>
      <c r="BH176" s="968"/>
      <c r="BI176" s="968"/>
      <c r="BJ176" s="968"/>
      <c r="BK176" s="913"/>
      <c r="BL176" s="913"/>
    </row>
    <row r="177" spans="1:64" s="371" customFormat="1" x14ac:dyDescent="0.3">
      <c r="A177" s="949">
        <v>527</v>
      </c>
      <c r="B177" s="1017"/>
      <c r="C177" s="948">
        <v>527</v>
      </c>
      <c r="D177" s="998" t="e">
        <v>#VALUE!</v>
      </c>
      <c r="E177" s="998"/>
      <c r="F177" s="965"/>
      <c r="G177" s="966"/>
      <c r="H177" s="966"/>
      <c r="I177" s="966"/>
      <c r="J177" s="966"/>
      <c r="K177" s="966"/>
      <c r="L177" s="967"/>
      <c r="M177" s="968"/>
      <c r="N177" s="968"/>
      <c r="O177" s="969"/>
      <c r="P177" s="969"/>
      <c r="Q177" s="969"/>
      <c r="R177" s="969"/>
      <c r="S177" s="969"/>
      <c r="T177" s="969"/>
      <c r="U177" s="969"/>
      <c r="V177" s="969"/>
      <c r="W177" s="969"/>
      <c r="X177" s="969"/>
      <c r="Y177" s="969"/>
      <c r="Z177" s="969"/>
      <c r="AA177" s="969"/>
      <c r="AB177" s="969"/>
      <c r="AC177" s="969"/>
      <c r="AD177" s="968"/>
      <c r="AE177" s="968"/>
      <c r="AF177" s="968"/>
      <c r="AG177" s="968"/>
      <c r="AH177" s="968"/>
      <c r="AI177" s="968"/>
      <c r="AJ177" s="968"/>
      <c r="AK177" s="968"/>
      <c r="AL177" s="968"/>
      <c r="AM177" s="968"/>
      <c r="AN177" s="968"/>
      <c r="AO177" s="968"/>
      <c r="AP177" s="968"/>
      <c r="AQ177" s="968"/>
      <c r="AR177" s="968"/>
      <c r="AS177" s="968"/>
      <c r="AT177" s="968"/>
      <c r="AU177" s="968"/>
      <c r="AV177" s="968"/>
      <c r="AW177" s="968"/>
      <c r="AX177" s="968"/>
      <c r="AY177" s="968"/>
      <c r="AZ177" s="968"/>
      <c r="BA177" s="968"/>
      <c r="BB177" s="968"/>
      <c r="BC177" s="968"/>
      <c r="BD177" s="968"/>
      <c r="BE177" s="968"/>
      <c r="BF177" s="968"/>
      <c r="BG177" s="968"/>
      <c r="BH177" s="968"/>
      <c r="BI177" s="968"/>
      <c r="BJ177" s="968"/>
      <c r="BK177" s="913"/>
      <c r="BL177" s="913"/>
    </row>
    <row r="178" spans="1:64" s="371" customFormat="1" x14ac:dyDescent="0.3">
      <c r="A178" s="949">
        <v>528</v>
      </c>
      <c r="B178" s="1017"/>
      <c r="C178" s="948">
        <v>528</v>
      </c>
      <c r="D178" s="998" t="e">
        <v>#VALUE!</v>
      </c>
      <c r="E178" s="998"/>
      <c r="F178" s="965"/>
      <c r="G178" s="966"/>
      <c r="H178" s="966"/>
      <c r="I178" s="966"/>
      <c r="J178" s="966"/>
      <c r="K178" s="966"/>
      <c r="L178" s="967"/>
      <c r="M178" s="968"/>
      <c r="N178" s="968"/>
      <c r="O178" s="969"/>
      <c r="P178" s="969"/>
      <c r="Q178" s="969"/>
      <c r="R178" s="969"/>
      <c r="S178" s="969"/>
      <c r="T178" s="969"/>
      <c r="U178" s="969"/>
      <c r="V178" s="969"/>
      <c r="W178" s="969"/>
      <c r="X178" s="969"/>
      <c r="Y178" s="969"/>
      <c r="Z178" s="969"/>
      <c r="AA178" s="969"/>
      <c r="AB178" s="969"/>
      <c r="AC178" s="969"/>
      <c r="AD178" s="968"/>
      <c r="AE178" s="968"/>
      <c r="AF178" s="968"/>
      <c r="AG178" s="968"/>
      <c r="AH178" s="968"/>
      <c r="AI178" s="968"/>
      <c r="AJ178" s="968"/>
      <c r="AK178" s="968"/>
      <c r="AL178" s="968"/>
      <c r="AM178" s="968"/>
      <c r="AN178" s="968"/>
      <c r="AO178" s="968"/>
      <c r="AP178" s="968"/>
      <c r="AQ178" s="968"/>
      <c r="AR178" s="968"/>
      <c r="AS178" s="968"/>
      <c r="AT178" s="968"/>
      <c r="AU178" s="968"/>
      <c r="AV178" s="968"/>
      <c r="AW178" s="968"/>
      <c r="AX178" s="968"/>
      <c r="AY178" s="968"/>
      <c r="AZ178" s="968"/>
      <c r="BA178" s="968"/>
      <c r="BB178" s="968"/>
      <c r="BC178" s="968"/>
      <c r="BD178" s="968"/>
      <c r="BE178" s="968"/>
      <c r="BF178" s="968"/>
      <c r="BG178" s="968"/>
      <c r="BH178" s="968"/>
      <c r="BI178" s="968"/>
      <c r="BJ178" s="968"/>
      <c r="BK178" s="913"/>
      <c r="BL178" s="913"/>
    </row>
    <row r="179" spans="1:64" s="371" customFormat="1" x14ac:dyDescent="0.3">
      <c r="A179" s="949">
        <v>529</v>
      </c>
      <c r="B179" s="1017"/>
      <c r="C179" s="948">
        <v>529</v>
      </c>
      <c r="D179" s="998" t="e">
        <v>#VALUE!</v>
      </c>
      <c r="E179" s="998"/>
      <c r="F179" s="965"/>
      <c r="G179" s="966"/>
      <c r="H179" s="966"/>
      <c r="I179" s="966"/>
      <c r="J179" s="966"/>
      <c r="K179" s="966"/>
      <c r="L179" s="967"/>
      <c r="M179" s="968"/>
      <c r="N179" s="968"/>
      <c r="O179" s="969"/>
      <c r="P179" s="969"/>
      <c r="Q179" s="969"/>
      <c r="R179" s="969"/>
      <c r="S179" s="969"/>
      <c r="T179" s="969"/>
      <c r="U179" s="969"/>
      <c r="V179" s="969"/>
      <c r="W179" s="969"/>
      <c r="X179" s="969"/>
      <c r="Y179" s="969"/>
      <c r="Z179" s="969"/>
      <c r="AA179" s="969"/>
      <c r="AB179" s="969"/>
      <c r="AC179" s="969"/>
      <c r="AD179" s="968"/>
      <c r="AE179" s="968"/>
      <c r="AF179" s="968"/>
      <c r="AG179" s="968"/>
      <c r="AH179" s="968"/>
      <c r="AI179" s="968"/>
      <c r="AJ179" s="968"/>
      <c r="AK179" s="968"/>
      <c r="AL179" s="968"/>
      <c r="AM179" s="968"/>
      <c r="AN179" s="968"/>
      <c r="AO179" s="968"/>
      <c r="AP179" s="968"/>
      <c r="AQ179" s="968"/>
      <c r="AR179" s="968"/>
      <c r="AS179" s="968"/>
      <c r="AT179" s="968"/>
      <c r="AU179" s="968"/>
      <c r="AV179" s="968"/>
      <c r="AW179" s="968"/>
      <c r="AX179" s="968"/>
      <c r="AY179" s="968"/>
      <c r="AZ179" s="968"/>
      <c r="BA179" s="968"/>
      <c r="BB179" s="968"/>
      <c r="BC179" s="968"/>
      <c r="BD179" s="968"/>
      <c r="BE179" s="968"/>
      <c r="BF179" s="968"/>
      <c r="BG179" s="968"/>
      <c r="BH179" s="968"/>
      <c r="BI179" s="968"/>
      <c r="BJ179" s="968"/>
      <c r="BK179" s="913"/>
      <c r="BL179" s="913"/>
    </row>
    <row r="180" spans="1:64" s="371" customFormat="1" x14ac:dyDescent="0.3">
      <c r="A180" s="949">
        <v>530</v>
      </c>
      <c r="B180" s="1017"/>
      <c r="C180" s="948">
        <v>530</v>
      </c>
      <c r="D180" s="998" t="e">
        <v>#VALUE!</v>
      </c>
      <c r="E180" s="998"/>
      <c r="F180" s="965"/>
      <c r="G180" s="966"/>
      <c r="H180" s="966"/>
      <c r="I180" s="966"/>
      <c r="J180" s="966"/>
      <c r="K180" s="966"/>
      <c r="L180" s="967"/>
      <c r="M180" s="968"/>
      <c r="N180" s="968"/>
      <c r="O180" s="969"/>
      <c r="P180" s="969"/>
      <c r="Q180" s="969"/>
      <c r="R180" s="969"/>
      <c r="S180" s="969"/>
      <c r="T180" s="969"/>
      <c r="U180" s="969"/>
      <c r="V180" s="969"/>
      <c r="W180" s="969"/>
      <c r="X180" s="969"/>
      <c r="Y180" s="969"/>
      <c r="Z180" s="969"/>
      <c r="AA180" s="969"/>
      <c r="AB180" s="969"/>
      <c r="AC180" s="969"/>
      <c r="AD180" s="968"/>
      <c r="AE180" s="968"/>
      <c r="AF180" s="968"/>
      <c r="AG180" s="968"/>
      <c r="AH180" s="968"/>
      <c r="AI180" s="968"/>
      <c r="AJ180" s="968"/>
      <c r="AK180" s="968"/>
      <c r="AL180" s="968"/>
      <c r="AM180" s="968"/>
      <c r="AN180" s="968"/>
      <c r="AO180" s="968"/>
      <c r="AP180" s="968"/>
      <c r="AQ180" s="968"/>
      <c r="AR180" s="968"/>
      <c r="AS180" s="968"/>
      <c r="AT180" s="968"/>
      <c r="AU180" s="968"/>
      <c r="AV180" s="968"/>
      <c r="AW180" s="968"/>
      <c r="AX180" s="968"/>
      <c r="AY180" s="968"/>
      <c r="AZ180" s="968"/>
      <c r="BA180" s="968"/>
      <c r="BB180" s="968"/>
      <c r="BC180" s="968"/>
      <c r="BD180" s="968"/>
      <c r="BE180" s="968"/>
      <c r="BF180" s="968"/>
      <c r="BG180" s="968"/>
      <c r="BH180" s="968"/>
      <c r="BI180" s="968"/>
      <c r="BJ180" s="968"/>
      <c r="BK180" s="913"/>
      <c r="BL180" s="913"/>
    </row>
    <row r="181" spans="1:64" s="371" customFormat="1" x14ac:dyDescent="0.3">
      <c r="A181" s="949">
        <v>531</v>
      </c>
      <c r="B181" s="1017"/>
      <c r="C181" s="948">
        <v>531</v>
      </c>
      <c r="D181" s="998" t="e">
        <v>#VALUE!</v>
      </c>
      <c r="E181" s="998"/>
      <c r="F181" s="965"/>
      <c r="G181" s="966"/>
      <c r="H181" s="966"/>
      <c r="I181" s="966"/>
      <c r="J181" s="966"/>
      <c r="K181" s="966"/>
      <c r="L181" s="967"/>
      <c r="M181" s="968"/>
      <c r="N181" s="968"/>
      <c r="O181" s="969"/>
      <c r="P181" s="969"/>
      <c r="Q181" s="969"/>
      <c r="R181" s="969"/>
      <c r="S181" s="969"/>
      <c r="T181" s="969"/>
      <c r="U181" s="969"/>
      <c r="V181" s="969"/>
      <c r="W181" s="969"/>
      <c r="X181" s="969"/>
      <c r="Y181" s="969"/>
      <c r="Z181" s="969"/>
      <c r="AA181" s="969"/>
      <c r="AB181" s="969"/>
      <c r="AC181" s="969"/>
      <c r="AD181" s="968"/>
      <c r="AE181" s="968"/>
      <c r="AF181" s="968"/>
      <c r="AG181" s="968"/>
      <c r="AH181" s="968"/>
      <c r="AI181" s="968"/>
      <c r="AJ181" s="968"/>
      <c r="AK181" s="968"/>
      <c r="AL181" s="968"/>
      <c r="AM181" s="968"/>
      <c r="AN181" s="968"/>
      <c r="AO181" s="968"/>
      <c r="AP181" s="968"/>
      <c r="AQ181" s="968"/>
      <c r="AR181" s="968"/>
      <c r="AS181" s="968"/>
      <c r="AT181" s="968"/>
      <c r="AU181" s="968"/>
      <c r="AV181" s="968"/>
      <c r="AW181" s="968"/>
      <c r="AX181" s="968"/>
      <c r="AY181" s="968"/>
      <c r="AZ181" s="968"/>
      <c r="BA181" s="968"/>
      <c r="BB181" s="968"/>
      <c r="BC181" s="968"/>
      <c r="BD181" s="968"/>
      <c r="BE181" s="968"/>
      <c r="BF181" s="968"/>
      <c r="BG181" s="968"/>
      <c r="BH181" s="968"/>
      <c r="BI181" s="968"/>
      <c r="BJ181" s="968"/>
      <c r="BK181" s="913"/>
      <c r="BL181" s="913"/>
    </row>
    <row r="182" spans="1:64" s="371" customFormat="1" x14ac:dyDescent="0.3">
      <c r="A182" s="949">
        <v>532</v>
      </c>
      <c r="B182" s="1017">
        <v>532</v>
      </c>
      <c r="C182" s="948">
        <v>532</v>
      </c>
      <c r="D182" s="998" t="s">
        <v>353</v>
      </c>
      <c r="E182" s="998"/>
      <c r="F182" s="965">
        <v>11555047</v>
      </c>
      <c r="G182" s="966">
        <v>17217181</v>
      </c>
      <c r="H182" s="966">
        <v>10058639</v>
      </c>
      <c r="I182" s="966">
        <v>5128938</v>
      </c>
      <c r="J182" s="966">
        <v>19631410</v>
      </c>
      <c r="K182" s="966">
        <v>9740393</v>
      </c>
      <c r="L182" s="967">
        <v>3004493</v>
      </c>
      <c r="M182" s="968">
        <v>6607374</v>
      </c>
      <c r="N182" s="968">
        <v>12569730</v>
      </c>
      <c r="O182" s="969">
        <v>2376184</v>
      </c>
      <c r="P182" s="969">
        <v>5448273</v>
      </c>
      <c r="Q182" s="969">
        <v>30482557</v>
      </c>
      <c r="R182" s="969">
        <v>18295072</v>
      </c>
      <c r="S182" s="969">
        <v>2859422</v>
      </c>
      <c r="T182" s="969">
        <v>181643</v>
      </c>
      <c r="U182" s="969">
        <v>22758966</v>
      </c>
      <c r="V182" s="969">
        <v>79968216</v>
      </c>
      <c r="W182" s="969">
        <v>6461524</v>
      </c>
      <c r="X182" s="969">
        <v>3723613</v>
      </c>
      <c r="Y182" s="969">
        <v>52424089</v>
      </c>
      <c r="Z182" s="969">
        <v>34000785</v>
      </c>
      <c r="AA182" s="969">
        <v>3735257</v>
      </c>
      <c r="AB182" s="969">
        <v>18174889</v>
      </c>
      <c r="AC182" s="969">
        <v>2785354</v>
      </c>
      <c r="AD182" s="968">
        <v>9876199</v>
      </c>
      <c r="AE182" s="968">
        <v>39523776</v>
      </c>
      <c r="AF182" s="968">
        <v>5143681</v>
      </c>
      <c r="AG182" s="968">
        <v>25079775</v>
      </c>
      <c r="AH182" s="968">
        <v>8586227</v>
      </c>
      <c r="AI182" s="968">
        <v>4042867</v>
      </c>
      <c r="AJ182" s="968">
        <v>17622099</v>
      </c>
      <c r="AK182" s="968">
        <v>17349614</v>
      </c>
      <c r="AL182" s="968">
        <v>38608688</v>
      </c>
      <c r="AM182" s="968">
        <v>14308390</v>
      </c>
      <c r="AN182" s="968">
        <v>10421769</v>
      </c>
      <c r="AO182" s="968">
        <v>14442238</v>
      </c>
      <c r="AP182" s="968">
        <v>12746052</v>
      </c>
      <c r="AQ182" s="968">
        <v>12747273</v>
      </c>
      <c r="AR182" s="968">
        <v>10329642</v>
      </c>
      <c r="AS182" s="968">
        <v>995816</v>
      </c>
      <c r="AT182" s="968">
        <v>5586384</v>
      </c>
      <c r="AU182" s="968">
        <v>12393943</v>
      </c>
      <c r="AV182" s="968">
        <v>690179</v>
      </c>
      <c r="AW182" s="968">
        <v>103123063</v>
      </c>
      <c r="AX182" s="968">
        <v>7315892</v>
      </c>
      <c r="AY182" s="968">
        <v>491593892</v>
      </c>
      <c r="AZ182" s="968">
        <v>4420854</v>
      </c>
      <c r="BA182" s="968">
        <v>1565673</v>
      </c>
      <c r="BB182" s="968">
        <v>15132718</v>
      </c>
      <c r="BC182" s="968">
        <v>21670213</v>
      </c>
      <c r="BD182" s="968">
        <v>1611237</v>
      </c>
      <c r="BE182" s="968">
        <v>1886330</v>
      </c>
      <c r="BF182" s="968">
        <v>17663056</v>
      </c>
      <c r="BG182" s="968">
        <v>19444026</v>
      </c>
      <c r="BH182" s="968">
        <v>124977535</v>
      </c>
      <c r="BI182" s="968">
        <v>6347288</v>
      </c>
      <c r="BJ182" s="968">
        <v>3036130</v>
      </c>
      <c r="BK182" s="913"/>
      <c r="BL182" s="913"/>
    </row>
    <row r="183" spans="1:64" s="371" customFormat="1" x14ac:dyDescent="0.3">
      <c r="A183" s="949">
        <v>533</v>
      </c>
      <c r="B183" s="1017">
        <v>533</v>
      </c>
      <c r="C183" s="948">
        <v>533</v>
      </c>
      <c r="D183" s="998" t="s">
        <v>354</v>
      </c>
      <c r="E183" s="998"/>
      <c r="F183" s="965">
        <v>0</v>
      </c>
      <c r="G183" s="966">
        <v>0</v>
      </c>
      <c r="H183" s="966">
        <v>0</v>
      </c>
      <c r="I183" s="966">
        <v>0</v>
      </c>
      <c r="J183" s="966">
        <v>0</v>
      </c>
      <c r="K183" s="966">
        <v>0</v>
      </c>
      <c r="L183" s="967">
        <v>0</v>
      </c>
      <c r="M183" s="968">
        <v>0</v>
      </c>
      <c r="N183" s="968">
        <v>0</v>
      </c>
      <c r="O183" s="969">
        <v>0</v>
      </c>
      <c r="P183" s="969">
        <v>0</v>
      </c>
      <c r="Q183" s="969">
        <v>0</v>
      </c>
      <c r="R183" s="969">
        <v>0</v>
      </c>
      <c r="S183" s="969">
        <v>0</v>
      </c>
      <c r="T183" s="969">
        <v>0</v>
      </c>
      <c r="U183" s="969">
        <v>0</v>
      </c>
      <c r="V183" s="969">
        <v>0</v>
      </c>
      <c r="W183" s="969">
        <v>0</v>
      </c>
      <c r="X183" s="969">
        <v>0</v>
      </c>
      <c r="Y183" s="969">
        <v>0</v>
      </c>
      <c r="Z183" s="969">
        <v>0</v>
      </c>
      <c r="AA183" s="969">
        <v>0</v>
      </c>
      <c r="AB183" s="969">
        <v>0</v>
      </c>
      <c r="AC183" s="969">
        <v>0</v>
      </c>
      <c r="AD183" s="968">
        <v>0</v>
      </c>
      <c r="AE183" s="968">
        <v>0</v>
      </c>
      <c r="AF183" s="968">
        <v>0</v>
      </c>
      <c r="AG183" s="968">
        <v>0</v>
      </c>
      <c r="AH183" s="968">
        <v>0</v>
      </c>
      <c r="AI183" s="968">
        <v>0</v>
      </c>
      <c r="AJ183" s="968">
        <v>0</v>
      </c>
      <c r="AK183" s="968">
        <v>1461210</v>
      </c>
      <c r="AL183" s="968">
        <v>0</v>
      </c>
      <c r="AM183" s="968">
        <v>0</v>
      </c>
      <c r="AN183" s="968">
        <v>0</v>
      </c>
      <c r="AO183" s="968">
        <v>0</v>
      </c>
      <c r="AP183" s="968">
        <v>0</v>
      </c>
      <c r="AQ183" s="968">
        <v>0</v>
      </c>
      <c r="AR183" s="968">
        <v>0</v>
      </c>
      <c r="AS183" s="968">
        <v>0</v>
      </c>
      <c r="AT183" s="968">
        <v>0</v>
      </c>
      <c r="AU183" s="968">
        <v>0</v>
      </c>
      <c r="AV183" s="968">
        <v>0</v>
      </c>
      <c r="AW183" s="968">
        <v>0</v>
      </c>
      <c r="AX183" s="968">
        <v>0</v>
      </c>
      <c r="AY183" s="968">
        <v>301733</v>
      </c>
      <c r="AZ183" s="968">
        <v>0</v>
      </c>
      <c r="BA183" s="968">
        <v>0</v>
      </c>
      <c r="BB183" s="968">
        <v>0</v>
      </c>
      <c r="BC183" s="968">
        <v>0</v>
      </c>
      <c r="BD183" s="968">
        <v>0</v>
      </c>
      <c r="BE183" s="968">
        <v>0</v>
      </c>
      <c r="BF183" s="968">
        <v>0</v>
      </c>
      <c r="BG183" s="968">
        <v>0</v>
      </c>
      <c r="BH183" s="968">
        <v>0</v>
      </c>
      <c r="BI183" s="968">
        <v>0</v>
      </c>
      <c r="BJ183" s="968">
        <v>0</v>
      </c>
      <c r="BK183" s="913"/>
      <c r="BL183" s="913"/>
    </row>
    <row r="184" spans="1:64" s="371" customFormat="1" ht="43.2" x14ac:dyDescent="0.3">
      <c r="A184" s="949">
        <v>534</v>
      </c>
      <c r="B184" s="1017"/>
      <c r="C184" s="948">
        <v>534</v>
      </c>
      <c r="D184" s="998" t="s">
        <v>270</v>
      </c>
      <c r="E184" s="998"/>
      <c r="F184" s="965"/>
      <c r="G184" s="966"/>
      <c r="H184" s="966"/>
      <c r="I184" s="966"/>
      <c r="J184" s="966"/>
      <c r="K184" s="966"/>
      <c r="L184" s="967"/>
      <c r="M184" s="968"/>
      <c r="N184" s="968"/>
      <c r="O184" s="969"/>
      <c r="P184" s="969"/>
      <c r="Q184" s="969"/>
      <c r="R184" s="969"/>
      <c r="S184" s="969"/>
      <c r="T184" s="969"/>
      <c r="U184" s="969"/>
      <c r="V184" s="969"/>
      <c r="W184" s="969"/>
      <c r="X184" s="969"/>
      <c r="Y184" s="969"/>
      <c r="Z184" s="969"/>
      <c r="AA184" s="969"/>
      <c r="AB184" s="969"/>
      <c r="AC184" s="969"/>
      <c r="AD184" s="968"/>
      <c r="AE184" s="968"/>
      <c r="AF184" s="968"/>
      <c r="AG184" s="968"/>
      <c r="AH184" s="968"/>
      <c r="AI184" s="968"/>
      <c r="AJ184" s="968"/>
      <c r="AK184" s="968"/>
      <c r="AL184" s="968"/>
      <c r="AM184" s="968"/>
      <c r="AN184" s="968"/>
      <c r="AO184" s="968"/>
      <c r="AP184" s="968"/>
      <c r="AQ184" s="968"/>
      <c r="AR184" s="968"/>
      <c r="AS184" s="968"/>
      <c r="AT184" s="968"/>
      <c r="AU184" s="968"/>
      <c r="AV184" s="968"/>
      <c r="AW184" s="968"/>
      <c r="AX184" s="968"/>
      <c r="AY184" s="968"/>
      <c r="AZ184" s="968"/>
      <c r="BA184" s="968"/>
      <c r="BB184" s="968"/>
      <c r="BC184" s="968"/>
      <c r="BD184" s="968"/>
      <c r="BE184" s="968"/>
      <c r="BF184" s="968"/>
      <c r="BG184" s="968"/>
      <c r="BH184" s="968"/>
      <c r="BI184" s="968"/>
      <c r="BJ184" s="968"/>
      <c r="BK184" s="913"/>
      <c r="BL184" s="913"/>
    </row>
    <row r="185" spans="1:64" s="371" customFormat="1" ht="28.8" x14ac:dyDescent="0.3">
      <c r="A185" s="949">
        <v>535</v>
      </c>
      <c r="B185" s="1017"/>
      <c r="C185" s="948">
        <v>535</v>
      </c>
      <c r="D185" s="998" t="s">
        <v>1064</v>
      </c>
      <c r="E185" s="998"/>
      <c r="F185" s="965"/>
      <c r="G185" s="966"/>
      <c r="H185" s="966"/>
      <c r="I185" s="966"/>
      <c r="J185" s="966"/>
      <c r="K185" s="966"/>
      <c r="L185" s="967"/>
      <c r="M185" s="968"/>
      <c r="N185" s="968"/>
      <c r="O185" s="969"/>
      <c r="P185" s="969"/>
      <c r="Q185" s="969"/>
      <c r="R185" s="969"/>
      <c r="S185" s="969"/>
      <c r="T185" s="969"/>
      <c r="U185" s="969"/>
      <c r="V185" s="969"/>
      <c r="W185" s="969"/>
      <c r="X185" s="969"/>
      <c r="Y185" s="969"/>
      <c r="Z185" s="969"/>
      <c r="AA185" s="969"/>
      <c r="AB185" s="969"/>
      <c r="AC185" s="969"/>
      <c r="AD185" s="968"/>
      <c r="AE185" s="968"/>
      <c r="AF185" s="968"/>
      <c r="AG185" s="968"/>
      <c r="AH185" s="968"/>
      <c r="AI185" s="968"/>
      <c r="AJ185" s="968"/>
      <c r="AK185" s="968"/>
      <c r="AL185" s="968"/>
      <c r="AM185" s="968"/>
      <c r="AN185" s="968"/>
      <c r="AO185" s="968"/>
      <c r="AP185" s="968"/>
      <c r="AQ185" s="968"/>
      <c r="AR185" s="968"/>
      <c r="AS185" s="968"/>
      <c r="AT185" s="968"/>
      <c r="AU185" s="968"/>
      <c r="AV185" s="968"/>
      <c r="AW185" s="968"/>
      <c r="AX185" s="968"/>
      <c r="AY185" s="968"/>
      <c r="AZ185" s="968"/>
      <c r="BA185" s="968"/>
      <c r="BB185" s="968"/>
      <c r="BC185" s="968"/>
      <c r="BD185" s="968"/>
      <c r="BE185" s="968"/>
      <c r="BF185" s="968"/>
      <c r="BG185" s="968"/>
      <c r="BH185" s="968"/>
      <c r="BI185" s="968"/>
      <c r="BJ185" s="968"/>
      <c r="BK185" s="913"/>
      <c r="BL185" s="913"/>
    </row>
    <row r="186" spans="1:64" s="371" customFormat="1" ht="28.8" x14ac:dyDescent="0.3">
      <c r="A186" s="949">
        <v>536</v>
      </c>
      <c r="B186" s="1017">
        <v>536</v>
      </c>
      <c r="C186" s="948">
        <v>536</v>
      </c>
      <c r="D186" s="998" t="s">
        <v>198</v>
      </c>
      <c r="E186" s="998"/>
      <c r="F186" s="965">
        <v>0</v>
      </c>
      <c r="G186" s="966">
        <v>0</v>
      </c>
      <c r="H186" s="966">
        <v>0</v>
      </c>
      <c r="I186" s="966">
        <v>0</v>
      </c>
      <c r="J186" s="966">
        <v>0</v>
      </c>
      <c r="K186" s="966">
        <v>0</v>
      </c>
      <c r="L186" s="967">
        <v>0</v>
      </c>
      <c r="M186" s="968">
        <v>0</v>
      </c>
      <c r="N186" s="968">
        <v>0</v>
      </c>
      <c r="O186" s="969">
        <v>0</v>
      </c>
      <c r="P186" s="969">
        <v>0</v>
      </c>
      <c r="Q186" s="969">
        <v>0</v>
      </c>
      <c r="R186" s="969">
        <v>0</v>
      </c>
      <c r="S186" s="969">
        <v>0</v>
      </c>
      <c r="T186" s="969">
        <v>0</v>
      </c>
      <c r="U186" s="969">
        <v>0</v>
      </c>
      <c r="V186" s="969">
        <v>0</v>
      </c>
      <c r="W186" s="969">
        <v>0</v>
      </c>
      <c r="X186" s="969">
        <v>0</v>
      </c>
      <c r="Y186" s="969">
        <v>0</v>
      </c>
      <c r="Z186" s="969">
        <v>0</v>
      </c>
      <c r="AA186" s="969">
        <v>0</v>
      </c>
      <c r="AB186" s="969">
        <v>0</v>
      </c>
      <c r="AC186" s="969">
        <v>0</v>
      </c>
      <c r="AD186" s="968">
        <v>0</v>
      </c>
      <c r="AE186" s="968">
        <v>0</v>
      </c>
      <c r="AF186" s="968">
        <v>0</v>
      </c>
      <c r="AG186" s="968">
        <v>0</v>
      </c>
      <c r="AH186" s="968">
        <v>0</v>
      </c>
      <c r="AI186" s="968">
        <v>0</v>
      </c>
      <c r="AJ186" s="968">
        <v>0</v>
      </c>
      <c r="AK186" s="968">
        <v>0</v>
      </c>
      <c r="AL186" s="968">
        <v>0</v>
      </c>
      <c r="AM186" s="968">
        <v>0</v>
      </c>
      <c r="AN186" s="968">
        <v>0</v>
      </c>
      <c r="AO186" s="968">
        <v>0</v>
      </c>
      <c r="AP186" s="968">
        <v>0</v>
      </c>
      <c r="AQ186" s="968">
        <v>0</v>
      </c>
      <c r="AR186" s="968">
        <v>0</v>
      </c>
      <c r="AS186" s="968">
        <v>0</v>
      </c>
      <c r="AT186" s="968">
        <v>0</v>
      </c>
      <c r="AU186" s="968">
        <v>0</v>
      </c>
      <c r="AV186" s="968">
        <v>13001</v>
      </c>
      <c r="AW186" s="968">
        <v>0</v>
      </c>
      <c r="AX186" s="968">
        <v>0</v>
      </c>
      <c r="AY186" s="968">
        <v>1170115</v>
      </c>
      <c r="AZ186" s="968">
        <v>0</v>
      </c>
      <c r="BA186" s="968">
        <v>0</v>
      </c>
      <c r="BB186" s="968">
        <v>0</v>
      </c>
      <c r="BC186" s="968">
        <v>0</v>
      </c>
      <c r="BD186" s="968">
        <v>0</v>
      </c>
      <c r="BE186" s="968">
        <v>0</v>
      </c>
      <c r="BF186" s="968">
        <v>0</v>
      </c>
      <c r="BG186" s="968">
        <v>0</v>
      </c>
      <c r="BH186" s="968">
        <v>0</v>
      </c>
      <c r="BI186" s="968">
        <v>0</v>
      </c>
      <c r="BJ186" s="968">
        <v>0</v>
      </c>
      <c r="BK186" s="913"/>
      <c r="BL186" s="913"/>
    </row>
    <row r="187" spans="1:64" s="371" customFormat="1" x14ac:dyDescent="0.3">
      <c r="A187" s="949">
        <v>537</v>
      </c>
      <c r="B187" s="1017"/>
      <c r="C187" s="948">
        <v>537</v>
      </c>
      <c r="D187" s="998"/>
      <c r="E187" s="998"/>
      <c r="F187" s="965"/>
      <c r="G187" s="966"/>
      <c r="H187" s="966"/>
      <c r="I187" s="966"/>
      <c r="J187" s="966"/>
      <c r="K187" s="966"/>
      <c r="L187" s="967"/>
      <c r="M187" s="968"/>
      <c r="N187" s="968"/>
      <c r="O187" s="969"/>
      <c r="P187" s="969"/>
      <c r="Q187" s="969"/>
      <c r="R187" s="969"/>
      <c r="S187" s="969"/>
      <c r="T187" s="969"/>
      <c r="U187" s="969"/>
      <c r="V187" s="969"/>
      <c r="W187" s="969"/>
      <c r="X187" s="969"/>
      <c r="Y187" s="969"/>
      <c r="Z187" s="969"/>
      <c r="AA187" s="969"/>
      <c r="AB187" s="969"/>
      <c r="AC187" s="969"/>
      <c r="AD187" s="968"/>
      <c r="AE187" s="968"/>
      <c r="AF187" s="968"/>
      <c r="AG187" s="968"/>
      <c r="AH187" s="968"/>
      <c r="AI187" s="968"/>
      <c r="AJ187" s="968"/>
      <c r="AK187" s="968"/>
      <c r="AL187" s="968"/>
      <c r="AM187" s="968"/>
      <c r="AN187" s="968"/>
      <c r="AO187" s="968"/>
      <c r="AP187" s="968"/>
      <c r="AQ187" s="968"/>
      <c r="AR187" s="968"/>
      <c r="AS187" s="968"/>
      <c r="AT187" s="968"/>
      <c r="AU187" s="968"/>
      <c r="AV187" s="968"/>
      <c r="AW187" s="968"/>
      <c r="AX187" s="968"/>
      <c r="AY187" s="968"/>
      <c r="AZ187" s="968"/>
      <c r="BA187" s="968"/>
      <c r="BB187" s="968"/>
      <c r="BC187" s="968"/>
      <c r="BD187" s="968"/>
      <c r="BE187" s="968"/>
      <c r="BF187" s="968"/>
      <c r="BG187" s="968"/>
      <c r="BH187" s="968"/>
      <c r="BI187" s="968"/>
      <c r="BJ187" s="968"/>
      <c r="BK187" s="913"/>
      <c r="BL187" s="913"/>
    </row>
    <row r="188" spans="1:64" s="371" customFormat="1" x14ac:dyDescent="0.3">
      <c r="A188" s="949">
        <v>538</v>
      </c>
      <c r="B188" s="1017"/>
      <c r="C188" s="948">
        <v>538</v>
      </c>
      <c r="D188" s="998"/>
      <c r="E188" s="998"/>
      <c r="F188" s="965"/>
      <c r="G188" s="966"/>
      <c r="H188" s="966"/>
      <c r="I188" s="966"/>
      <c r="J188" s="966"/>
      <c r="K188" s="966"/>
      <c r="L188" s="967"/>
      <c r="M188" s="968"/>
      <c r="N188" s="968"/>
      <c r="O188" s="969"/>
      <c r="P188" s="969"/>
      <c r="Q188" s="969"/>
      <c r="R188" s="969"/>
      <c r="S188" s="969"/>
      <c r="T188" s="969"/>
      <c r="U188" s="969"/>
      <c r="V188" s="969"/>
      <c r="W188" s="969"/>
      <c r="X188" s="969"/>
      <c r="Y188" s="969"/>
      <c r="Z188" s="969"/>
      <c r="AA188" s="969"/>
      <c r="AB188" s="969"/>
      <c r="AC188" s="969"/>
      <c r="AD188" s="968"/>
      <c r="AE188" s="968"/>
      <c r="AF188" s="968"/>
      <c r="AG188" s="968"/>
      <c r="AH188" s="968"/>
      <c r="AI188" s="968"/>
      <c r="AJ188" s="968"/>
      <c r="AK188" s="968"/>
      <c r="AL188" s="968"/>
      <c r="AM188" s="968"/>
      <c r="AN188" s="968"/>
      <c r="AO188" s="968"/>
      <c r="AP188" s="968"/>
      <c r="AQ188" s="968"/>
      <c r="AR188" s="968"/>
      <c r="AS188" s="968"/>
      <c r="AT188" s="968"/>
      <c r="AU188" s="968"/>
      <c r="AV188" s="968"/>
      <c r="AW188" s="968"/>
      <c r="AX188" s="968"/>
      <c r="AY188" s="968"/>
      <c r="AZ188" s="968"/>
      <c r="BA188" s="968"/>
      <c r="BB188" s="968"/>
      <c r="BC188" s="968"/>
      <c r="BD188" s="968"/>
      <c r="BE188" s="968"/>
      <c r="BF188" s="968"/>
      <c r="BG188" s="968"/>
      <c r="BH188" s="968"/>
      <c r="BI188" s="968"/>
      <c r="BJ188" s="968"/>
      <c r="BK188" s="913"/>
      <c r="BL188" s="913"/>
    </row>
    <row r="189" spans="1:64" s="371" customFormat="1" x14ac:dyDescent="0.3">
      <c r="A189" s="949">
        <v>539</v>
      </c>
      <c r="B189" s="1017"/>
      <c r="C189" s="948">
        <v>539</v>
      </c>
      <c r="D189" s="998"/>
      <c r="E189" s="998"/>
      <c r="F189" s="965"/>
      <c r="G189" s="966"/>
      <c r="H189" s="966"/>
      <c r="I189" s="966"/>
      <c r="J189" s="966"/>
      <c r="K189" s="966"/>
      <c r="L189" s="967"/>
      <c r="M189" s="968"/>
      <c r="N189" s="968"/>
      <c r="O189" s="969"/>
      <c r="P189" s="969"/>
      <c r="Q189" s="969"/>
      <c r="R189" s="969"/>
      <c r="S189" s="969"/>
      <c r="T189" s="969"/>
      <c r="U189" s="969"/>
      <c r="V189" s="969"/>
      <c r="W189" s="969"/>
      <c r="X189" s="969"/>
      <c r="Y189" s="969"/>
      <c r="Z189" s="969"/>
      <c r="AA189" s="969"/>
      <c r="AB189" s="969"/>
      <c r="AC189" s="969"/>
      <c r="AD189" s="968"/>
      <c r="AE189" s="968"/>
      <c r="AF189" s="968"/>
      <c r="AG189" s="968"/>
      <c r="AH189" s="968"/>
      <c r="AI189" s="968"/>
      <c r="AJ189" s="968"/>
      <c r="AK189" s="968"/>
      <c r="AL189" s="968"/>
      <c r="AM189" s="968"/>
      <c r="AN189" s="968"/>
      <c r="AO189" s="968"/>
      <c r="AP189" s="968"/>
      <c r="AQ189" s="968"/>
      <c r="AR189" s="968"/>
      <c r="AS189" s="968"/>
      <c r="AT189" s="968"/>
      <c r="AU189" s="968"/>
      <c r="AV189" s="968"/>
      <c r="AW189" s="968"/>
      <c r="AX189" s="968"/>
      <c r="AY189" s="968"/>
      <c r="AZ189" s="968"/>
      <c r="BA189" s="968"/>
      <c r="BB189" s="968"/>
      <c r="BC189" s="968"/>
      <c r="BD189" s="968"/>
      <c r="BE189" s="968"/>
      <c r="BF189" s="968"/>
      <c r="BG189" s="968"/>
      <c r="BH189" s="968"/>
      <c r="BI189" s="968"/>
      <c r="BJ189" s="968"/>
      <c r="BK189" s="913"/>
      <c r="BL189" s="913"/>
    </row>
    <row r="190" spans="1:64" s="371" customFormat="1" x14ac:dyDescent="0.3">
      <c r="A190" s="949">
        <v>540</v>
      </c>
      <c r="B190" s="1017"/>
      <c r="C190" s="948">
        <v>540</v>
      </c>
      <c r="D190" s="998"/>
      <c r="E190" s="998"/>
      <c r="F190" s="965"/>
      <c r="G190" s="966"/>
      <c r="H190" s="966"/>
      <c r="I190" s="966"/>
      <c r="J190" s="966"/>
      <c r="K190" s="966"/>
      <c r="L190" s="967"/>
      <c r="M190" s="968"/>
      <c r="N190" s="968"/>
      <c r="O190" s="969"/>
      <c r="P190" s="969"/>
      <c r="Q190" s="969"/>
      <c r="R190" s="969"/>
      <c r="S190" s="969"/>
      <c r="T190" s="969"/>
      <c r="U190" s="969"/>
      <c r="V190" s="969"/>
      <c r="W190" s="969"/>
      <c r="X190" s="969"/>
      <c r="Y190" s="969"/>
      <c r="Z190" s="969"/>
      <c r="AA190" s="969"/>
      <c r="AB190" s="969"/>
      <c r="AC190" s="969"/>
      <c r="AD190" s="968"/>
      <c r="AE190" s="968"/>
      <c r="AF190" s="968"/>
      <c r="AG190" s="968"/>
      <c r="AH190" s="968"/>
      <c r="AI190" s="968"/>
      <c r="AJ190" s="968"/>
      <c r="AK190" s="968"/>
      <c r="AL190" s="968"/>
      <c r="AM190" s="968"/>
      <c r="AN190" s="968"/>
      <c r="AO190" s="968"/>
      <c r="AP190" s="968"/>
      <c r="AQ190" s="968"/>
      <c r="AR190" s="968"/>
      <c r="AS190" s="968"/>
      <c r="AT190" s="968"/>
      <c r="AU190" s="968"/>
      <c r="AV190" s="968"/>
      <c r="AW190" s="968"/>
      <c r="AX190" s="968"/>
      <c r="AY190" s="968"/>
      <c r="AZ190" s="968"/>
      <c r="BA190" s="968"/>
      <c r="BB190" s="968"/>
      <c r="BC190" s="968"/>
      <c r="BD190" s="968"/>
      <c r="BE190" s="968"/>
      <c r="BF190" s="968"/>
      <c r="BG190" s="968"/>
      <c r="BH190" s="968"/>
      <c r="BI190" s="968"/>
      <c r="BJ190" s="968"/>
      <c r="BK190" s="913"/>
      <c r="BL190" s="913"/>
    </row>
    <row r="191" spans="1:64" s="371" customFormat="1" x14ac:dyDescent="0.3">
      <c r="A191" s="949">
        <v>541</v>
      </c>
      <c r="B191" s="1017"/>
      <c r="C191" s="948">
        <v>541</v>
      </c>
      <c r="D191" s="998"/>
      <c r="E191" s="998"/>
      <c r="F191" s="965"/>
      <c r="G191" s="966"/>
      <c r="H191" s="966"/>
      <c r="I191" s="966"/>
      <c r="J191" s="966"/>
      <c r="K191" s="966"/>
      <c r="L191" s="967"/>
      <c r="M191" s="968"/>
      <c r="N191" s="968"/>
      <c r="O191" s="969"/>
      <c r="P191" s="969"/>
      <c r="Q191" s="969"/>
      <c r="R191" s="969"/>
      <c r="S191" s="969"/>
      <c r="T191" s="969"/>
      <c r="U191" s="969"/>
      <c r="V191" s="969"/>
      <c r="W191" s="969"/>
      <c r="X191" s="969"/>
      <c r="Y191" s="969"/>
      <c r="Z191" s="969"/>
      <c r="AA191" s="969"/>
      <c r="AB191" s="969"/>
      <c r="AC191" s="969"/>
      <c r="AD191" s="968"/>
      <c r="AE191" s="968"/>
      <c r="AF191" s="968"/>
      <c r="AG191" s="968"/>
      <c r="AH191" s="968"/>
      <c r="AI191" s="968"/>
      <c r="AJ191" s="968"/>
      <c r="AK191" s="968"/>
      <c r="AL191" s="968"/>
      <c r="AM191" s="968"/>
      <c r="AN191" s="968"/>
      <c r="AO191" s="968"/>
      <c r="AP191" s="968"/>
      <c r="AQ191" s="968"/>
      <c r="AR191" s="968"/>
      <c r="AS191" s="968"/>
      <c r="AT191" s="968"/>
      <c r="AU191" s="968"/>
      <c r="AV191" s="968"/>
      <c r="AW191" s="968"/>
      <c r="AX191" s="968"/>
      <c r="AY191" s="968"/>
      <c r="AZ191" s="968"/>
      <c r="BA191" s="968"/>
      <c r="BB191" s="968"/>
      <c r="BC191" s="968"/>
      <c r="BD191" s="968"/>
      <c r="BE191" s="968"/>
      <c r="BF191" s="968"/>
      <c r="BG191" s="968"/>
      <c r="BH191" s="968"/>
      <c r="BI191" s="968"/>
      <c r="BJ191" s="968"/>
      <c r="BK191" s="913"/>
      <c r="BL191" s="913"/>
    </row>
    <row r="192" spans="1:64" s="371" customFormat="1" x14ac:dyDescent="0.3">
      <c r="A192" s="949">
        <v>542</v>
      </c>
      <c r="B192" s="1017"/>
      <c r="C192" s="948">
        <v>542</v>
      </c>
      <c r="D192" s="998"/>
      <c r="E192" s="998"/>
      <c r="F192" s="965"/>
      <c r="G192" s="966"/>
      <c r="H192" s="966"/>
      <c r="I192" s="966"/>
      <c r="J192" s="966"/>
      <c r="K192" s="966"/>
      <c r="L192" s="967"/>
      <c r="M192" s="968"/>
      <c r="N192" s="968"/>
      <c r="O192" s="969"/>
      <c r="P192" s="969"/>
      <c r="Q192" s="969"/>
      <c r="R192" s="969"/>
      <c r="S192" s="969"/>
      <c r="T192" s="969"/>
      <c r="U192" s="969"/>
      <c r="V192" s="969"/>
      <c r="W192" s="969"/>
      <c r="X192" s="969"/>
      <c r="Y192" s="969"/>
      <c r="Z192" s="969"/>
      <c r="AA192" s="969"/>
      <c r="AB192" s="969"/>
      <c r="AC192" s="969"/>
      <c r="AD192" s="968"/>
      <c r="AE192" s="968"/>
      <c r="AF192" s="968"/>
      <c r="AG192" s="968"/>
      <c r="AH192" s="968"/>
      <c r="AI192" s="968"/>
      <c r="AJ192" s="968"/>
      <c r="AK192" s="968"/>
      <c r="AL192" s="968"/>
      <c r="AM192" s="968"/>
      <c r="AN192" s="968"/>
      <c r="AO192" s="968"/>
      <c r="AP192" s="968"/>
      <c r="AQ192" s="968"/>
      <c r="AR192" s="968"/>
      <c r="AS192" s="968"/>
      <c r="AT192" s="968"/>
      <c r="AU192" s="968"/>
      <c r="AV192" s="968"/>
      <c r="AW192" s="968"/>
      <c r="AX192" s="968"/>
      <c r="AY192" s="968"/>
      <c r="AZ192" s="968"/>
      <c r="BA192" s="968"/>
      <c r="BB192" s="968"/>
      <c r="BC192" s="968"/>
      <c r="BD192" s="968"/>
      <c r="BE192" s="968"/>
      <c r="BF192" s="968"/>
      <c r="BG192" s="968"/>
      <c r="BH192" s="968"/>
      <c r="BI192" s="968"/>
      <c r="BJ192" s="968"/>
      <c r="BK192" s="913"/>
      <c r="BL192" s="913"/>
    </row>
    <row r="193" spans="1:64" s="371" customFormat="1" x14ac:dyDescent="0.3">
      <c r="A193" s="949">
        <v>543</v>
      </c>
      <c r="B193" s="1017"/>
      <c r="C193" s="948">
        <v>543</v>
      </c>
      <c r="D193" s="998"/>
      <c r="E193" s="998"/>
      <c r="F193" s="965"/>
      <c r="G193" s="966"/>
      <c r="H193" s="966"/>
      <c r="I193" s="966"/>
      <c r="J193" s="966"/>
      <c r="K193" s="966"/>
      <c r="L193" s="967"/>
      <c r="M193" s="968"/>
      <c r="N193" s="968"/>
      <c r="O193" s="969"/>
      <c r="P193" s="969"/>
      <c r="Q193" s="969"/>
      <c r="R193" s="969"/>
      <c r="S193" s="969"/>
      <c r="T193" s="969"/>
      <c r="U193" s="969"/>
      <c r="V193" s="969"/>
      <c r="W193" s="969"/>
      <c r="X193" s="969"/>
      <c r="Y193" s="969"/>
      <c r="Z193" s="969"/>
      <c r="AA193" s="969"/>
      <c r="AB193" s="969"/>
      <c r="AC193" s="969"/>
      <c r="AD193" s="968"/>
      <c r="AE193" s="968"/>
      <c r="AF193" s="968"/>
      <c r="AG193" s="968"/>
      <c r="AH193" s="968"/>
      <c r="AI193" s="968"/>
      <c r="AJ193" s="968"/>
      <c r="AK193" s="968"/>
      <c r="AL193" s="968"/>
      <c r="AM193" s="968"/>
      <c r="AN193" s="968"/>
      <c r="AO193" s="968"/>
      <c r="AP193" s="968"/>
      <c r="AQ193" s="968"/>
      <c r="AR193" s="968"/>
      <c r="AS193" s="968"/>
      <c r="AT193" s="968"/>
      <c r="AU193" s="968"/>
      <c r="AV193" s="968"/>
      <c r="AW193" s="968"/>
      <c r="AX193" s="968"/>
      <c r="AY193" s="968"/>
      <c r="AZ193" s="968"/>
      <c r="BA193" s="968"/>
      <c r="BB193" s="968"/>
      <c r="BC193" s="968"/>
      <c r="BD193" s="968"/>
      <c r="BE193" s="968"/>
      <c r="BF193" s="968"/>
      <c r="BG193" s="968"/>
      <c r="BH193" s="968"/>
      <c r="BI193" s="968"/>
      <c r="BJ193" s="968"/>
      <c r="BK193" s="913"/>
      <c r="BL193" s="913"/>
    </row>
    <row r="194" spans="1:64" s="371" customFormat="1" x14ac:dyDescent="0.3">
      <c r="A194" s="949">
        <v>544</v>
      </c>
      <c r="B194" s="1017"/>
      <c r="C194" s="948">
        <v>544</v>
      </c>
      <c r="D194" s="998"/>
      <c r="E194" s="998"/>
      <c r="F194" s="965"/>
      <c r="G194" s="966"/>
      <c r="H194" s="966"/>
      <c r="I194" s="966"/>
      <c r="J194" s="966"/>
      <c r="K194" s="966"/>
      <c r="L194" s="967"/>
      <c r="M194" s="968"/>
      <c r="N194" s="968"/>
      <c r="O194" s="969"/>
      <c r="P194" s="969"/>
      <c r="Q194" s="969"/>
      <c r="R194" s="969"/>
      <c r="S194" s="969"/>
      <c r="T194" s="969"/>
      <c r="U194" s="969"/>
      <c r="V194" s="969"/>
      <c r="W194" s="969"/>
      <c r="X194" s="969"/>
      <c r="Y194" s="969"/>
      <c r="Z194" s="969"/>
      <c r="AA194" s="969"/>
      <c r="AB194" s="969"/>
      <c r="AC194" s="969"/>
      <c r="AD194" s="968"/>
      <c r="AE194" s="968"/>
      <c r="AF194" s="968"/>
      <c r="AG194" s="968"/>
      <c r="AH194" s="968"/>
      <c r="AI194" s="968"/>
      <c r="AJ194" s="968"/>
      <c r="AK194" s="968"/>
      <c r="AL194" s="968"/>
      <c r="AM194" s="968"/>
      <c r="AN194" s="968"/>
      <c r="AO194" s="968"/>
      <c r="AP194" s="968"/>
      <c r="AQ194" s="968"/>
      <c r="AR194" s="968"/>
      <c r="AS194" s="968"/>
      <c r="AT194" s="968"/>
      <c r="AU194" s="968"/>
      <c r="AV194" s="968"/>
      <c r="AW194" s="968"/>
      <c r="AX194" s="968"/>
      <c r="AY194" s="968"/>
      <c r="AZ194" s="968"/>
      <c r="BA194" s="968"/>
      <c r="BB194" s="968"/>
      <c r="BC194" s="968"/>
      <c r="BD194" s="968"/>
      <c r="BE194" s="968"/>
      <c r="BF194" s="968"/>
      <c r="BG194" s="968"/>
      <c r="BH194" s="968"/>
      <c r="BI194" s="968"/>
      <c r="BJ194" s="968"/>
      <c r="BK194" s="913"/>
      <c r="BL194" s="913"/>
    </row>
    <row r="195" spans="1:64" s="371" customFormat="1" x14ac:dyDescent="0.3">
      <c r="A195" s="949">
        <v>545</v>
      </c>
      <c r="B195" s="1017"/>
      <c r="C195" s="948">
        <v>545</v>
      </c>
      <c r="D195" s="998"/>
      <c r="E195" s="998"/>
      <c r="F195" s="965"/>
      <c r="G195" s="966"/>
      <c r="H195" s="966"/>
      <c r="I195" s="966"/>
      <c r="J195" s="966"/>
      <c r="K195" s="966"/>
      <c r="L195" s="967"/>
      <c r="M195" s="968"/>
      <c r="N195" s="968"/>
      <c r="O195" s="969"/>
      <c r="P195" s="969"/>
      <c r="Q195" s="969"/>
      <c r="R195" s="969"/>
      <c r="S195" s="969"/>
      <c r="T195" s="969"/>
      <c r="U195" s="969"/>
      <c r="V195" s="969"/>
      <c r="W195" s="969"/>
      <c r="X195" s="969"/>
      <c r="Y195" s="969"/>
      <c r="Z195" s="969"/>
      <c r="AA195" s="969"/>
      <c r="AB195" s="969"/>
      <c r="AC195" s="969"/>
      <c r="AD195" s="968"/>
      <c r="AE195" s="968"/>
      <c r="AF195" s="968"/>
      <c r="AG195" s="968"/>
      <c r="AH195" s="968"/>
      <c r="AI195" s="968"/>
      <c r="AJ195" s="968"/>
      <c r="AK195" s="968"/>
      <c r="AL195" s="968"/>
      <c r="AM195" s="968"/>
      <c r="AN195" s="968"/>
      <c r="AO195" s="968"/>
      <c r="AP195" s="968"/>
      <c r="AQ195" s="968"/>
      <c r="AR195" s="968"/>
      <c r="AS195" s="968"/>
      <c r="AT195" s="968"/>
      <c r="AU195" s="968"/>
      <c r="AV195" s="968"/>
      <c r="AW195" s="968"/>
      <c r="AX195" s="968"/>
      <c r="AY195" s="968"/>
      <c r="AZ195" s="968"/>
      <c r="BA195" s="968"/>
      <c r="BB195" s="968"/>
      <c r="BC195" s="968"/>
      <c r="BD195" s="968"/>
      <c r="BE195" s="968"/>
      <c r="BF195" s="968"/>
      <c r="BG195" s="968"/>
      <c r="BH195" s="968"/>
      <c r="BI195" s="968"/>
      <c r="BJ195" s="968"/>
      <c r="BK195" s="913"/>
      <c r="BL195" s="913"/>
    </row>
    <row r="196" spans="1:64" s="371" customFormat="1" x14ac:dyDescent="0.3">
      <c r="A196" s="949">
        <v>546</v>
      </c>
      <c r="B196" s="1017">
        <v>546</v>
      </c>
      <c r="C196" s="948">
        <v>546</v>
      </c>
      <c r="D196" s="998"/>
      <c r="E196" s="998"/>
      <c r="F196" s="965">
        <v>0</v>
      </c>
      <c r="G196" s="966">
        <v>0</v>
      </c>
      <c r="H196" s="966">
        <v>0</v>
      </c>
      <c r="I196" s="966">
        <v>1565203</v>
      </c>
      <c r="J196" s="966">
        <v>0</v>
      </c>
      <c r="K196" s="966">
        <v>0</v>
      </c>
      <c r="L196" s="967">
        <v>0</v>
      </c>
      <c r="M196" s="968">
        <v>0</v>
      </c>
      <c r="N196" s="968">
        <v>0</v>
      </c>
      <c r="O196" s="969">
        <v>0</v>
      </c>
      <c r="P196" s="969">
        <v>0</v>
      </c>
      <c r="Q196" s="969">
        <v>0</v>
      </c>
      <c r="R196" s="969">
        <v>8128163</v>
      </c>
      <c r="S196" s="969">
        <v>936088</v>
      </c>
      <c r="T196" s="969">
        <v>0</v>
      </c>
      <c r="U196" s="969">
        <v>0</v>
      </c>
      <c r="V196" s="969">
        <v>0</v>
      </c>
      <c r="W196" s="969">
        <v>0</v>
      </c>
      <c r="X196" s="969">
        <v>0</v>
      </c>
      <c r="Y196" s="969">
        <v>0</v>
      </c>
      <c r="Z196" s="969">
        <v>0</v>
      </c>
      <c r="AA196" s="969">
        <v>0</v>
      </c>
      <c r="AB196" s="969">
        <v>0</v>
      </c>
      <c r="AC196" s="969">
        <v>0</v>
      </c>
      <c r="AD196" s="968">
        <v>0</v>
      </c>
      <c r="AE196" s="968">
        <v>0</v>
      </c>
      <c r="AF196" s="968">
        <v>0</v>
      </c>
      <c r="AG196" s="968">
        <v>2404813</v>
      </c>
      <c r="AH196" s="968">
        <v>0</v>
      </c>
      <c r="AI196" s="968">
        <v>1871788</v>
      </c>
      <c r="AJ196" s="968">
        <v>0</v>
      </c>
      <c r="AK196" s="968">
        <v>0</v>
      </c>
      <c r="AL196" s="968">
        <v>0</v>
      </c>
      <c r="AM196" s="968">
        <v>0</v>
      </c>
      <c r="AN196" s="968">
        <v>0</v>
      </c>
      <c r="AO196" s="968">
        <v>0</v>
      </c>
      <c r="AP196" s="968">
        <v>0</v>
      </c>
      <c r="AQ196" s="968">
        <v>0</v>
      </c>
      <c r="AR196" s="968">
        <v>0</v>
      </c>
      <c r="AS196" s="968">
        <v>0</v>
      </c>
      <c r="AT196" s="968">
        <v>58568</v>
      </c>
      <c r="AU196" s="968">
        <v>0</v>
      </c>
      <c r="AV196" s="968">
        <v>0</v>
      </c>
      <c r="AW196" s="968">
        <v>0</v>
      </c>
      <c r="AX196" s="968">
        <v>0</v>
      </c>
      <c r="AY196" s="968">
        <v>0</v>
      </c>
      <c r="AZ196" s="968">
        <v>0</v>
      </c>
      <c r="BA196" s="968">
        <v>0</v>
      </c>
      <c r="BB196" s="968">
        <v>0</v>
      </c>
      <c r="BC196" s="968">
        <v>0</v>
      </c>
      <c r="BD196" s="968">
        <v>1383552</v>
      </c>
      <c r="BE196" s="968">
        <v>0</v>
      </c>
      <c r="BF196" s="968">
        <v>0</v>
      </c>
      <c r="BG196" s="968">
        <v>0</v>
      </c>
      <c r="BH196" s="968">
        <v>0</v>
      </c>
      <c r="BI196" s="968">
        <v>0</v>
      </c>
      <c r="BJ196" s="968">
        <v>0</v>
      </c>
      <c r="BK196" s="913"/>
      <c r="BL196" s="913"/>
    </row>
    <row r="197" spans="1:64" s="371" customFormat="1" x14ac:dyDescent="0.3">
      <c r="A197" s="949">
        <v>547</v>
      </c>
      <c r="B197" s="1017">
        <v>547</v>
      </c>
      <c r="C197" s="1020">
        <v>547</v>
      </c>
      <c r="D197" s="1021"/>
      <c r="E197" s="1021"/>
      <c r="F197" s="1012">
        <v>4</v>
      </c>
      <c r="G197" s="1013">
        <v>4</v>
      </c>
      <c r="H197" s="1013">
        <v>4</v>
      </c>
      <c r="I197" s="1013">
        <v>4</v>
      </c>
      <c r="J197" s="1013">
        <v>4</v>
      </c>
      <c r="K197" s="1013">
        <v>4</v>
      </c>
      <c r="L197" s="1011">
        <v>4</v>
      </c>
      <c r="M197" s="1010">
        <v>4</v>
      </c>
      <c r="N197" s="1010">
        <v>4</v>
      </c>
      <c r="O197" s="1014">
        <v>4</v>
      </c>
      <c r="P197" s="1014">
        <v>4</v>
      </c>
      <c r="Q197" s="1014">
        <v>4</v>
      </c>
      <c r="R197" s="1014">
        <v>4</v>
      </c>
      <c r="S197" s="1014">
        <v>4</v>
      </c>
      <c r="T197" s="1014">
        <v>4</v>
      </c>
      <c r="U197" s="1014">
        <v>4</v>
      </c>
      <c r="V197" s="1014">
        <v>4</v>
      </c>
      <c r="W197" s="1014">
        <v>4</v>
      </c>
      <c r="X197" s="1014">
        <v>4</v>
      </c>
      <c r="Y197" s="1014">
        <v>4</v>
      </c>
      <c r="Z197" s="1014">
        <v>4</v>
      </c>
      <c r="AA197" s="1014">
        <v>4</v>
      </c>
      <c r="AB197" s="1014">
        <v>4</v>
      </c>
      <c r="AC197" s="1014">
        <v>4</v>
      </c>
      <c r="AD197" s="1010">
        <v>4</v>
      </c>
      <c r="AE197" s="1010">
        <v>4</v>
      </c>
      <c r="AF197" s="1010">
        <v>4</v>
      </c>
      <c r="AG197" s="1010">
        <v>4</v>
      </c>
      <c r="AH197" s="1010">
        <v>4</v>
      </c>
      <c r="AI197" s="1010">
        <v>4</v>
      </c>
      <c r="AJ197" s="1010">
        <v>4</v>
      </c>
      <c r="AK197" s="1010">
        <v>4</v>
      </c>
      <c r="AL197" s="1010">
        <v>4</v>
      </c>
      <c r="AM197" s="1010">
        <v>4</v>
      </c>
      <c r="AN197" s="1010">
        <v>4</v>
      </c>
      <c r="AO197" s="1010">
        <v>4</v>
      </c>
      <c r="AP197" s="1010">
        <v>4</v>
      </c>
      <c r="AQ197" s="1010">
        <v>4</v>
      </c>
      <c r="AR197" s="1010">
        <v>4</v>
      </c>
      <c r="AS197" s="1010">
        <v>4</v>
      </c>
      <c r="AT197" s="1010">
        <v>4</v>
      </c>
      <c r="AU197" s="1010">
        <v>4</v>
      </c>
      <c r="AV197" s="1010">
        <v>4</v>
      </c>
      <c r="AW197" s="1010">
        <v>4</v>
      </c>
      <c r="AX197" s="1010">
        <v>4</v>
      </c>
      <c r="AY197" s="1010">
        <v>4</v>
      </c>
      <c r="AZ197" s="1010">
        <v>4</v>
      </c>
      <c r="BA197" s="1010">
        <v>4</v>
      </c>
      <c r="BB197" s="1010">
        <v>4</v>
      </c>
      <c r="BC197" s="1010">
        <v>4</v>
      </c>
      <c r="BD197" s="1010">
        <v>4</v>
      </c>
      <c r="BE197" s="1010">
        <v>1</v>
      </c>
      <c r="BF197" s="1010">
        <v>4</v>
      </c>
      <c r="BG197" s="1010">
        <v>4</v>
      </c>
      <c r="BH197" s="1010">
        <v>4</v>
      </c>
      <c r="BI197" s="1010">
        <v>4</v>
      </c>
      <c r="BJ197" s="1010">
        <v>4</v>
      </c>
      <c r="BK197" s="913"/>
      <c r="BL197" s="913"/>
    </row>
    <row r="198" spans="1:64" s="371" customFormat="1" x14ac:dyDescent="0.3">
      <c r="A198" s="949">
        <v>548</v>
      </c>
      <c r="B198" s="947"/>
      <c r="C198" s="948">
        <v>548</v>
      </c>
      <c r="D198" s="998"/>
      <c r="E198" s="998"/>
      <c r="F198" s="965"/>
      <c r="G198" s="966"/>
      <c r="H198" s="966"/>
      <c r="I198" s="966"/>
      <c r="J198" s="966"/>
      <c r="K198" s="966"/>
      <c r="L198" s="967"/>
      <c r="M198" s="968"/>
      <c r="N198" s="968"/>
      <c r="O198" s="969"/>
      <c r="P198" s="969"/>
      <c r="Q198" s="969"/>
      <c r="R198" s="969"/>
      <c r="S198" s="969"/>
      <c r="T198" s="969"/>
      <c r="U198" s="969"/>
      <c r="V198" s="969"/>
      <c r="W198" s="969"/>
      <c r="X198" s="969"/>
      <c r="Y198" s="969"/>
      <c r="Z198" s="969"/>
      <c r="AA198" s="969"/>
      <c r="AB198" s="969"/>
      <c r="AC198" s="969"/>
      <c r="AD198" s="968"/>
      <c r="AE198" s="968"/>
      <c r="AF198" s="968"/>
      <c r="AG198" s="968"/>
      <c r="AH198" s="968"/>
      <c r="AI198" s="968"/>
      <c r="AJ198" s="968"/>
      <c r="AK198" s="968"/>
      <c r="AL198" s="968"/>
      <c r="AM198" s="968"/>
      <c r="AN198" s="968"/>
      <c r="AO198" s="968"/>
      <c r="AP198" s="968"/>
      <c r="AQ198" s="968"/>
      <c r="AR198" s="968"/>
      <c r="AS198" s="968"/>
      <c r="AT198" s="968"/>
      <c r="AU198" s="968"/>
      <c r="AV198" s="968"/>
      <c r="AW198" s="968"/>
      <c r="AX198" s="968"/>
      <c r="AY198" s="968"/>
      <c r="AZ198" s="968"/>
      <c r="BA198" s="968"/>
      <c r="BB198" s="968"/>
      <c r="BC198" s="968"/>
      <c r="BD198" s="968"/>
      <c r="BE198" s="968"/>
      <c r="BF198" s="968"/>
      <c r="BG198" s="968"/>
      <c r="BH198" s="968"/>
      <c r="BI198" s="968"/>
      <c r="BJ198" s="968"/>
      <c r="BK198" s="913"/>
      <c r="BL198" s="913"/>
    </row>
    <row r="199" spans="1:64" s="371" customFormat="1" x14ac:dyDescent="0.3">
      <c r="A199" s="949">
        <v>549</v>
      </c>
      <c r="B199" s="1017"/>
      <c r="C199" s="948">
        <v>549</v>
      </c>
      <c r="D199" s="998"/>
      <c r="E199" s="998"/>
      <c r="F199" s="965"/>
      <c r="G199" s="966"/>
      <c r="H199" s="966"/>
      <c r="I199" s="966"/>
      <c r="J199" s="966"/>
      <c r="K199" s="966"/>
      <c r="L199" s="967"/>
      <c r="M199" s="968"/>
      <c r="N199" s="968"/>
      <c r="O199" s="969"/>
      <c r="P199" s="969"/>
      <c r="Q199" s="969"/>
      <c r="R199" s="969"/>
      <c r="S199" s="969"/>
      <c r="T199" s="969"/>
      <c r="U199" s="969"/>
      <c r="V199" s="969"/>
      <c r="W199" s="969"/>
      <c r="X199" s="969"/>
      <c r="Y199" s="969"/>
      <c r="Z199" s="969"/>
      <c r="AA199" s="969"/>
      <c r="AB199" s="969"/>
      <c r="AC199" s="969"/>
      <c r="AD199" s="968"/>
      <c r="AE199" s="968"/>
      <c r="AF199" s="968"/>
      <c r="AG199" s="968"/>
      <c r="AH199" s="968"/>
      <c r="AI199" s="968"/>
      <c r="AJ199" s="968"/>
      <c r="AK199" s="968"/>
      <c r="AL199" s="968"/>
      <c r="AM199" s="968"/>
      <c r="AN199" s="968"/>
      <c r="AO199" s="968"/>
      <c r="AP199" s="968"/>
      <c r="AQ199" s="968"/>
      <c r="AR199" s="968"/>
      <c r="AS199" s="968"/>
      <c r="AT199" s="968"/>
      <c r="AU199" s="968"/>
      <c r="AV199" s="968"/>
      <c r="AW199" s="968"/>
      <c r="AX199" s="968"/>
      <c r="AY199" s="968"/>
      <c r="AZ199" s="968"/>
      <c r="BA199" s="968"/>
      <c r="BB199" s="968"/>
      <c r="BC199" s="968"/>
      <c r="BD199" s="968"/>
      <c r="BE199" s="968"/>
      <c r="BF199" s="968"/>
      <c r="BG199" s="968"/>
      <c r="BH199" s="968"/>
      <c r="BI199" s="968"/>
      <c r="BJ199" s="968"/>
      <c r="BK199" s="913"/>
      <c r="BL199" s="913"/>
    </row>
    <row r="200" spans="1:64" s="371" customFormat="1" x14ac:dyDescent="0.3">
      <c r="A200" s="949">
        <v>550</v>
      </c>
      <c r="B200" s="1017"/>
      <c r="C200" s="948">
        <v>550</v>
      </c>
      <c r="D200" s="998"/>
      <c r="E200" s="998"/>
      <c r="F200" s="965"/>
      <c r="G200" s="966"/>
      <c r="H200" s="966"/>
      <c r="I200" s="966"/>
      <c r="J200" s="966"/>
      <c r="K200" s="966"/>
      <c r="L200" s="967"/>
      <c r="M200" s="968"/>
      <c r="N200" s="968"/>
      <c r="O200" s="969"/>
      <c r="P200" s="969"/>
      <c r="Q200" s="969"/>
      <c r="R200" s="969"/>
      <c r="S200" s="969"/>
      <c r="T200" s="969"/>
      <c r="U200" s="969"/>
      <c r="V200" s="969"/>
      <c r="W200" s="969"/>
      <c r="X200" s="969"/>
      <c r="Y200" s="969"/>
      <c r="Z200" s="969"/>
      <c r="AA200" s="969"/>
      <c r="AB200" s="969"/>
      <c r="AC200" s="969"/>
      <c r="AD200" s="968"/>
      <c r="AE200" s="968"/>
      <c r="AF200" s="968"/>
      <c r="AG200" s="968"/>
      <c r="AH200" s="968"/>
      <c r="AI200" s="968"/>
      <c r="AJ200" s="968"/>
      <c r="AK200" s="968"/>
      <c r="AL200" s="968"/>
      <c r="AM200" s="968"/>
      <c r="AN200" s="968"/>
      <c r="AO200" s="968"/>
      <c r="AP200" s="968"/>
      <c r="AQ200" s="968"/>
      <c r="AR200" s="968"/>
      <c r="AS200" s="968"/>
      <c r="AT200" s="968"/>
      <c r="AU200" s="968"/>
      <c r="AV200" s="968"/>
      <c r="AW200" s="968"/>
      <c r="AX200" s="968"/>
      <c r="AY200" s="968"/>
      <c r="AZ200" s="968"/>
      <c r="BA200" s="968"/>
      <c r="BB200" s="968"/>
      <c r="BC200" s="968"/>
      <c r="BD200" s="968"/>
      <c r="BE200" s="968"/>
      <c r="BF200" s="968"/>
      <c r="BG200" s="968"/>
      <c r="BH200" s="968"/>
      <c r="BI200" s="968"/>
      <c r="BJ200" s="968"/>
      <c r="BK200" s="913"/>
      <c r="BL200" s="913"/>
    </row>
    <row r="201" spans="1:64" s="371" customFormat="1" x14ac:dyDescent="0.3">
      <c r="A201" s="949">
        <v>551</v>
      </c>
      <c r="B201" s="1017"/>
      <c r="C201" s="948">
        <v>551</v>
      </c>
      <c r="D201" s="998"/>
      <c r="E201" s="998"/>
      <c r="F201" s="965"/>
      <c r="G201" s="966"/>
      <c r="H201" s="966"/>
      <c r="I201" s="966"/>
      <c r="J201" s="966"/>
      <c r="K201" s="966"/>
      <c r="L201" s="967"/>
      <c r="M201" s="968"/>
      <c r="N201" s="968"/>
      <c r="O201" s="969"/>
      <c r="P201" s="969"/>
      <c r="Q201" s="969"/>
      <c r="R201" s="969"/>
      <c r="S201" s="969"/>
      <c r="T201" s="969"/>
      <c r="U201" s="969"/>
      <c r="V201" s="969"/>
      <c r="W201" s="969"/>
      <c r="X201" s="969"/>
      <c r="Y201" s="969"/>
      <c r="Z201" s="969"/>
      <c r="AA201" s="969"/>
      <c r="AB201" s="969"/>
      <c r="AC201" s="969"/>
      <c r="AD201" s="968"/>
      <c r="AE201" s="968"/>
      <c r="AF201" s="968"/>
      <c r="AG201" s="968"/>
      <c r="AH201" s="968"/>
      <c r="AI201" s="968"/>
      <c r="AJ201" s="968"/>
      <c r="AK201" s="968"/>
      <c r="AL201" s="968"/>
      <c r="AM201" s="968"/>
      <c r="AN201" s="968"/>
      <c r="AO201" s="968"/>
      <c r="AP201" s="968"/>
      <c r="AQ201" s="968"/>
      <c r="AR201" s="968"/>
      <c r="AS201" s="968"/>
      <c r="AT201" s="968"/>
      <c r="AU201" s="968"/>
      <c r="AV201" s="968"/>
      <c r="AW201" s="968"/>
      <c r="AX201" s="968"/>
      <c r="AY201" s="968"/>
      <c r="AZ201" s="968"/>
      <c r="BA201" s="968"/>
      <c r="BB201" s="968"/>
      <c r="BC201" s="968"/>
      <c r="BD201" s="968"/>
      <c r="BE201" s="968"/>
      <c r="BF201" s="968"/>
      <c r="BG201" s="968"/>
      <c r="BH201" s="968"/>
      <c r="BI201" s="968"/>
      <c r="BJ201" s="968"/>
      <c r="BK201" s="913"/>
      <c r="BL201" s="913"/>
    </row>
    <row r="202" spans="1:64" s="371" customFormat="1" x14ac:dyDescent="0.3">
      <c r="A202" s="949">
        <v>552</v>
      </c>
      <c r="B202" s="1017"/>
      <c r="C202" s="948">
        <v>552</v>
      </c>
      <c r="D202" s="998"/>
      <c r="E202" s="998"/>
      <c r="F202" s="965"/>
      <c r="G202" s="966"/>
      <c r="H202" s="966"/>
      <c r="I202" s="966"/>
      <c r="J202" s="966"/>
      <c r="K202" s="966"/>
      <c r="L202" s="967"/>
      <c r="M202" s="968"/>
      <c r="N202" s="968"/>
      <c r="O202" s="969"/>
      <c r="P202" s="969"/>
      <c r="Q202" s="969"/>
      <c r="R202" s="969"/>
      <c r="S202" s="969"/>
      <c r="T202" s="969"/>
      <c r="U202" s="969"/>
      <c r="V202" s="969"/>
      <c r="W202" s="969"/>
      <c r="X202" s="969"/>
      <c r="Y202" s="969"/>
      <c r="Z202" s="969"/>
      <c r="AA202" s="969"/>
      <c r="AB202" s="969"/>
      <c r="AC202" s="969"/>
      <c r="AD202" s="968"/>
      <c r="AE202" s="968"/>
      <c r="AF202" s="968"/>
      <c r="AG202" s="968"/>
      <c r="AH202" s="968"/>
      <c r="AI202" s="968"/>
      <c r="AJ202" s="968"/>
      <c r="AK202" s="968"/>
      <c r="AL202" s="968"/>
      <c r="AM202" s="968"/>
      <c r="AN202" s="968"/>
      <c r="AO202" s="968"/>
      <c r="AP202" s="968"/>
      <c r="AQ202" s="968"/>
      <c r="AR202" s="968"/>
      <c r="AS202" s="968"/>
      <c r="AT202" s="968"/>
      <c r="AU202" s="968"/>
      <c r="AV202" s="968"/>
      <c r="AW202" s="968"/>
      <c r="AX202" s="968"/>
      <c r="AY202" s="968"/>
      <c r="AZ202" s="968"/>
      <c r="BA202" s="968"/>
      <c r="BB202" s="968"/>
      <c r="BC202" s="968"/>
      <c r="BD202" s="968"/>
      <c r="BE202" s="968"/>
      <c r="BF202" s="968"/>
      <c r="BG202" s="968"/>
      <c r="BH202" s="968"/>
      <c r="BI202" s="968"/>
      <c r="BJ202" s="968"/>
      <c r="BK202" s="913"/>
      <c r="BL202" s="913"/>
    </row>
    <row r="203" spans="1:64" s="371" customFormat="1" x14ac:dyDescent="0.3">
      <c r="A203" s="949">
        <v>553</v>
      </c>
      <c r="B203" s="1017"/>
      <c r="C203" s="948">
        <v>553</v>
      </c>
      <c r="D203" s="998"/>
      <c r="E203" s="998"/>
      <c r="F203" s="965"/>
      <c r="G203" s="966"/>
      <c r="H203" s="966"/>
      <c r="I203" s="966"/>
      <c r="J203" s="966"/>
      <c r="K203" s="966"/>
      <c r="L203" s="967"/>
      <c r="M203" s="968"/>
      <c r="N203" s="968"/>
      <c r="O203" s="969"/>
      <c r="P203" s="969"/>
      <c r="Q203" s="969"/>
      <c r="R203" s="969"/>
      <c r="S203" s="969"/>
      <c r="T203" s="969"/>
      <c r="U203" s="969"/>
      <c r="V203" s="969"/>
      <c r="W203" s="969"/>
      <c r="X203" s="969"/>
      <c r="Y203" s="969"/>
      <c r="Z203" s="969"/>
      <c r="AA203" s="969"/>
      <c r="AB203" s="969"/>
      <c r="AC203" s="969"/>
      <c r="AD203" s="968"/>
      <c r="AE203" s="968"/>
      <c r="AF203" s="968"/>
      <c r="AG203" s="968"/>
      <c r="AH203" s="968"/>
      <c r="AI203" s="968"/>
      <c r="AJ203" s="968"/>
      <c r="AK203" s="968"/>
      <c r="AL203" s="968"/>
      <c r="AM203" s="968"/>
      <c r="AN203" s="968"/>
      <c r="AO203" s="968"/>
      <c r="AP203" s="968"/>
      <c r="AQ203" s="968"/>
      <c r="AR203" s="968"/>
      <c r="AS203" s="968"/>
      <c r="AT203" s="968"/>
      <c r="AU203" s="968"/>
      <c r="AV203" s="968"/>
      <c r="AW203" s="968"/>
      <c r="AX203" s="968"/>
      <c r="AY203" s="968"/>
      <c r="AZ203" s="968"/>
      <c r="BA203" s="968"/>
      <c r="BB203" s="968"/>
      <c r="BC203" s="968"/>
      <c r="BD203" s="968"/>
      <c r="BE203" s="968"/>
      <c r="BF203" s="968"/>
      <c r="BG203" s="968"/>
      <c r="BH203" s="968"/>
      <c r="BI203" s="968"/>
      <c r="BJ203" s="968"/>
      <c r="BK203" s="913"/>
      <c r="BL203" s="913"/>
    </row>
    <row r="204" spans="1:64" s="371" customFormat="1" x14ac:dyDescent="0.3">
      <c r="A204" s="970">
        <v>554</v>
      </c>
      <c r="B204" s="1017">
        <v>554</v>
      </c>
      <c r="C204" s="978">
        <v>554</v>
      </c>
      <c r="D204" s="1030" t="s">
        <v>355</v>
      </c>
      <c r="E204" s="981"/>
      <c r="F204" s="982">
        <v>8157175</v>
      </c>
      <c r="G204" s="983">
        <v>9425900</v>
      </c>
      <c r="H204" s="983">
        <v>13421072</v>
      </c>
      <c r="I204" s="983">
        <v>4918807</v>
      </c>
      <c r="J204" s="983">
        <v>10122450</v>
      </c>
      <c r="K204" s="983">
        <v>5944500</v>
      </c>
      <c r="L204" s="984">
        <v>3153033</v>
      </c>
      <c r="M204" s="985">
        <v>4407047</v>
      </c>
      <c r="N204" s="985">
        <v>9466284</v>
      </c>
      <c r="O204" s="986">
        <v>2154754</v>
      </c>
      <c r="P204" s="986">
        <v>6814166</v>
      </c>
      <c r="Q204" s="986">
        <v>8956595</v>
      </c>
      <c r="R204" s="986">
        <v>4104641</v>
      </c>
      <c r="S204" s="986">
        <v>2709074</v>
      </c>
      <c r="T204" s="986">
        <v>21906</v>
      </c>
      <c r="U204" s="986">
        <v>19740843</v>
      </c>
      <c r="V204" s="986">
        <v>28333267</v>
      </c>
      <c r="W204" s="986">
        <v>3293669</v>
      </c>
      <c r="X204" s="986">
        <v>4486786</v>
      </c>
      <c r="Y204" s="986">
        <v>32025069</v>
      </c>
      <c r="Z204" s="986">
        <v>4835749</v>
      </c>
      <c r="AA204" s="986">
        <v>1965306</v>
      </c>
      <c r="AB204" s="986">
        <v>12190901</v>
      </c>
      <c r="AC204" s="986">
        <v>1938392</v>
      </c>
      <c r="AD204" s="985">
        <v>0</v>
      </c>
      <c r="AE204" s="985">
        <v>34255653</v>
      </c>
      <c r="AF204" s="985">
        <v>2758744</v>
      </c>
      <c r="AG204" s="985">
        <v>15188781</v>
      </c>
      <c r="AH204" s="985">
        <v>11435285</v>
      </c>
      <c r="AI204" s="985">
        <v>3021263</v>
      </c>
      <c r="AJ204" s="985">
        <v>34977682</v>
      </c>
      <c r="AK204" s="985">
        <v>15128873</v>
      </c>
      <c r="AL204" s="985">
        <v>25317617</v>
      </c>
      <c r="AM204" s="985">
        <v>13813604</v>
      </c>
      <c r="AN204" s="985">
        <v>11985611</v>
      </c>
      <c r="AO204" s="985">
        <v>11599188</v>
      </c>
      <c r="AP204" s="985">
        <v>9348316</v>
      </c>
      <c r="AQ204" s="985">
        <v>6467125</v>
      </c>
      <c r="AR204" s="985">
        <v>11073712</v>
      </c>
      <c r="AS204" s="985">
        <v>6719083</v>
      </c>
      <c r="AT204" s="985">
        <v>11276191</v>
      </c>
      <c r="AU204" s="985">
        <v>3755521</v>
      </c>
      <c r="AV204" s="985">
        <v>1057263</v>
      </c>
      <c r="AW204" s="985">
        <v>0</v>
      </c>
      <c r="AX204" s="985">
        <v>9185097</v>
      </c>
      <c r="AY204" s="985">
        <v>117930985</v>
      </c>
      <c r="AZ204" s="985">
        <v>3516281</v>
      </c>
      <c r="BA204" s="985">
        <v>2612958</v>
      </c>
      <c r="BB204" s="985">
        <v>4170000</v>
      </c>
      <c r="BC204" s="985">
        <v>26104817</v>
      </c>
      <c r="BD204" s="985">
        <v>1887077</v>
      </c>
      <c r="BE204" s="985">
        <v>4115065</v>
      </c>
      <c r="BF204" s="985">
        <v>11775709</v>
      </c>
      <c r="BG204" s="985">
        <v>14315987</v>
      </c>
      <c r="BH204" s="985">
        <v>60088730</v>
      </c>
      <c r="BI204" s="985">
        <v>7283503</v>
      </c>
      <c r="BJ204" s="985">
        <v>2953806</v>
      </c>
      <c r="BK204" s="913"/>
      <c r="BL204" s="913"/>
    </row>
    <row r="205" spans="1:64" s="371" customFormat="1" x14ac:dyDescent="0.3">
      <c r="A205" s="970">
        <v>555</v>
      </c>
      <c r="B205" s="1017">
        <v>555</v>
      </c>
      <c r="C205" s="978">
        <v>555</v>
      </c>
      <c r="D205" s="1030" t="s">
        <v>356</v>
      </c>
      <c r="E205" s="981"/>
      <c r="F205" s="982">
        <v>3124507</v>
      </c>
      <c r="G205" s="983">
        <v>4482238</v>
      </c>
      <c r="H205" s="983">
        <v>5518675</v>
      </c>
      <c r="I205" s="983">
        <v>1161122</v>
      </c>
      <c r="J205" s="983">
        <v>2271258</v>
      </c>
      <c r="K205" s="983">
        <v>2921302</v>
      </c>
      <c r="L205" s="984">
        <v>781305</v>
      </c>
      <c r="M205" s="985">
        <v>1990946</v>
      </c>
      <c r="N205" s="985">
        <v>2201206</v>
      </c>
      <c r="O205" s="986">
        <v>441096</v>
      </c>
      <c r="P205" s="986">
        <v>2992664</v>
      </c>
      <c r="Q205" s="986">
        <v>2558582</v>
      </c>
      <c r="R205" s="986">
        <v>1678669</v>
      </c>
      <c r="S205" s="986">
        <v>933804</v>
      </c>
      <c r="T205" s="986">
        <v>0</v>
      </c>
      <c r="U205" s="986">
        <v>13729446</v>
      </c>
      <c r="V205" s="986">
        <v>10948950</v>
      </c>
      <c r="W205" s="986">
        <v>1310601</v>
      </c>
      <c r="X205" s="986">
        <v>1904831</v>
      </c>
      <c r="Y205" s="986">
        <v>12523805</v>
      </c>
      <c r="Z205" s="986">
        <v>1404728</v>
      </c>
      <c r="AA205" s="986">
        <v>430195</v>
      </c>
      <c r="AB205" s="986">
        <v>3734147</v>
      </c>
      <c r="AC205" s="986">
        <v>1366136</v>
      </c>
      <c r="AD205" s="985">
        <v>0</v>
      </c>
      <c r="AE205" s="985">
        <v>10950433</v>
      </c>
      <c r="AF205" s="985">
        <v>1060601</v>
      </c>
      <c r="AG205" s="985">
        <v>5943521</v>
      </c>
      <c r="AH205" s="985">
        <v>5106163</v>
      </c>
      <c r="AI205" s="985">
        <v>1106730</v>
      </c>
      <c r="AJ205" s="985">
        <v>16653453</v>
      </c>
      <c r="AK205" s="985">
        <v>5253751</v>
      </c>
      <c r="AL205" s="985">
        <v>11718709</v>
      </c>
      <c r="AM205" s="985">
        <v>4318472</v>
      </c>
      <c r="AN205" s="985">
        <v>6162553</v>
      </c>
      <c r="AO205" s="985">
        <v>4534539</v>
      </c>
      <c r="AP205" s="985">
        <v>5808176</v>
      </c>
      <c r="AQ205" s="985">
        <v>2895467</v>
      </c>
      <c r="AR205" s="985">
        <v>2441526</v>
      </c>
      <c r="AS205" s="985">
        <v>3336662</v>
      </c>
      <c r="AT205" s="985">
        <v>6009961</v>
      </c>
      <c r="AU205" s="985">
        <v>812987</v>
      </c>
      <c r="AV205" s="985">
        <v>539102</v>
      </c>
      <c r="AW205" s="985">
        <v>0</v>
      </c>
      <c r="AX205" s="985">
        <v>4265234</v>
      </c>
      <c r="AY205" s="985">
        <v>49131824</v>
      </c>
      <c r="AZ205" s="985">
        <v>1670998</v>
      </c>
      <c r="BA205" s="985">
        <v>806254</v>
      </c>
      <c r="BB205" s="985">
        <v>1584052</v>
      </c>
      <c r="BC205" s="985">
        <v>9082743</v>
      </c>
      <c r="BD205" s="985">
        <v>643593</v>
      </c>
      <c r="BE205" s="985">
        <v>1993948</v>
      </c>
      <c r="BF205" s="985">
        <v>2851478</v>
      </c>
      <c r="BG205" s="985">
        <v>7239258</v>
      </c>
      <c r="BH205" s="985">
        <v>42880709</v>
      </c>
      <c r="BI205" s="985">
        <v>4902323</v>
      </c>
      <c r="BJ205" s="985">
        <v>787879</v>
      </c>
      <c r="BK205" s="913"/>
      <c r="BL205" s="913"/>
    </row>
    <row r="206" spans="1:64" s="371" customFormat="1" x14ac:dyDescent="0.3">
      <c r="A206" s="970">
        <v>556</v>
      </c>
      <c r="B206" s="1017">
        <v>556</v>
      </c>
      <c r="C206" s="978">
        <v>556</v>
      </c>
      <c r="D206" s="1030" t="s">
        <v>357</v>
      </c>
      <c r="E206" s="981"/>
      <c r="F206" s="982">
        <v>34491347</v>
      </c>
      <c r="G206" s="983">
        <v>64828938</v>
      </c>
      <c r="H206" s="983">
        <v>59829139</v>
      </c>
      <c r="I206" s="983">
        <v>21329428</v>
      </c>
      <c r="J206" s="983">
        <v>70337902</v>
      </c>
      <c r="K206" s="983">
        <v>31349873</v>
      </c>
      <c r="L206" s="984">
        <v>19191877</v>
      </c>
      <c r="M206" s="985">
        <v>25366652</v>
      </c>
      <c r="N206" s="985">
        <v>52993883</v>
      </c>
      <c r="O206" s="986">
        <v>16665273</v>
      </c>
      <c r="P206" s="986">
        <v>29345692</v>
      </c>
      <c r="Q206" s="986">
        <v>81841221</v>
      </c>
      <c r="R206" s="986">
        <v>35896386</v>
      </c>
      <c r="S206" s="986">
        <v>12015509</v>
      </c>
      <c r="T206" s="986">
        <v>1718062</v>
      </c>
      <c r="U206" s="986">
        <v>100600729</v>
      </c>
      <c r="V206" s="986">
        <v>169962862</v>
      </c>
      <c r="W206" s="986">
        <v>19989785</v>
      </c>
      <c r="X206" s="986">
        <v>15964541</v>
      </c>
      <c r="Y206" s="986">
        <v>169637768</v>
      </c>
      <c r="Z206" s="986">
        <v>48842052</v>
      </c>
      <c r="AA206" s="986">
        <v>12324274</v>
      </c>
      <c r="AB206" s="986">
        <v>62995887</v>
      </c>
      <c r="AC206" s="986">
        <v>13905679</v>
      </c>
      <c r="AD206" s="985">
        <v>0</v>
      </c>
      <c r="AE206" s="985">
        <v>162487410</v>
      </c>
      <c r="AF206" s="985">
        <v>17400601</v>
      </c>
      <c r="AG206" s="985">
        <v>107953366</v>
      </c>
      <c r="AH206" s="985">
        <v>52259396</v>
      </c>
      <c r="AI206" s="985">
        <v>19953505</v>
      </c>
      <c r="AJ206" s="985">
        <v>160410935</v>
      </c>
      <c r="AK206" s="985">
        <v>80916189</v>
      </c>
      <c r="AL206" s="985">
        <v>124896933</v>
      </c>
      <c r="AM206" s="985">
        <v>56645394</v>
      </c>
      <c r="AN206" s="985">
        <v>57858210</v>
      </c>
      <c r="AO206" s="985">
        <v>44293202</v>
      </c>
      <c r="AP206" s="985">
        <v>57662991</v>
      </c>
      <c r="AQ206" s="985">
        <v>41721169</v>
      </c>
      <c r="AR206" s="985">
        <v>53487587</v>
      </c>
      <c r="AS206" s="985">
        <v>18622533</v>
      </c>
      <c r="AT206" s="985">
        <v>16326882</v>
      </c>
      <c r="AU206" s="985">
        <v>22766789</v>
      </c>
      <c r="AV206" s="985">
        <v>7687980</v>
      </c>
      <c r="AW206" s="985">
        <v>0</v>
      </c>
      <c r="AX206" s="985">
        <v>46547107</v>
      </c>
      <c r="AY206" s="985">
        <v>1002743254</v>
      </c>
      <c r="AZ206" s="985">
        <v>17277404</v>
      </c>
      <c r="BA206" s="985">
        <v>13071371</v>
      </c>
      <c r="BB206" s="985">
        <v>31907473</v>
      </c>
      <c r="BC206" s="985">
        <v>131063410</v>
      </c>
      <c r="BD206" s="985">
        <v>7877558</v>
      </c>
      <c r="BE206" s="985">
        <v>16995213</v>
      </c>
      <c r="BF206" s="985">
        <v>64720163</v>
      </c>
      <c r="BG206" s="985">
        <v>72018368</v>
      </c>
      <c r="BH206" s="985">
        <v>344748211</v>
      </c>
      <c r="BI206" s="985">
        <v>37918759</v>
      </c>
      <c r="BJ206" s="985">
        <v>17824950</v>
      </c>
      <c r="BK206" s="913"/>
      <c r="BL206" s="913"/>
    </row>
    <row r="207" spans="1:64" s="371" customFormat="1" x14ac:dyDescent="0.3">
      <c r="A207" s="970">
        <v>557</v>
      </c>
      <c r="B207" s="1017">
        <v>557</v>
      </c>
      <c r="C207" s="978">
        <v>557</v>
      </c>
      <c r="D207" s="1030" t="s">
        <v>358</v>
      </c>
      <c r="E207" s="981"/>
      <c r="F207" s="982">
        <v>32432553</v>
      </c>
      <c r="G207" s="983">
        <v>60323766</v>
      </c>
      <c r="H207" s="983">
        <v>58363019</v>
      </c>
      <c r="I207" s="983">
        <v>19562142</v>
      </c>
      <c r="J207" s="983">
        <v>65562099</v>
      </c>
      <c r="K207" s="983">
        <v>28943572</v>
      </c>
      <c r="L207" s="984">
        <v>17152456</v>
      </c>
      <c r="M207" s="985">
        <v>25192581</v>
      </c>
      <c r="N207" s="985">
        <v>41404632</v>
      </c>
      <c r="O207" s="986">
        <v>15623937</v>
      </c>
      <c r="P207" s="986">
        <v>25753332</v>
      </c>
      <c r="Q207" s="986">
        <v>75034489</v>
      </c>
      <c r="R207" s="986">
        <v>33180284</v>
      </c>
      <c r="S207" s="986">
        <v>10567124</v>
      </c>
      <c r="T207" s="986">
        <v>1718062</v>
      </c>
      <c r="U207" s="986">
        <v>94035514</v>
      </c>
      <c r="V207" s="986">
        <v>153475935</v>
      </c>
      <c r="W207" s="986">
        <v>18102226</v>
      </c>
      <c r="X207" s="986">
        <v>14502845</v>
      </c>
      <c r="Y207" s="986">
        <v>161225382</v>
      </c>
      <c r="Z207" s="986">
        <v>45031301</v>
      </c>
      <c r="AA207" s="986">
        <v>11991061</v>
      </c>
      <c r="AB207" s="986">
        <v>60778674</v>
      </c>
      <c r="AC207" s="986">
        <v>13203922</v>
      </c>
      <c r="AD207" s="985">
        <v>0</v>
      </c>
      <c r="AE207" s="985">
        <v>154037312</v>
      </c>
      <c r="AF207" s="985">
        <v>16579866</v>
      </c>
      <c r="AG207" s="985">
        <v>99787491</v>
      </c>
      <c r="AH207" s="985">
        <v>47689064</v>
      </c>
      <c r="AI207" s="985">
        <v>17985867</v>
      </c>
      <c r="AJ207" s="985">
        <v>152870189</v>
      </c>
      <c r="AK207" s="985">
        <v>75594213</v>
      </c>
      <c r="AL207" s="985">
        <v>124622757</v>
      </c>
      <c r="AM207" s="985">
        <v>53031122</v>
      </c>
      <c r="AN207" s="985">
        <v>56235974</v>
      </c>
      <c r="AO207" s="985">
        <v>39898205</v>
      </c>
      <c r="AP207" s="985">
        <v>53838234</v>
      </c>
      <c r="AQ207" s="985">
        <v>37810640</v>
      </c>
      <c r="AR207" s="985">
        <v>49614373</v>
      </c>
      <c r="AS207" s="985">
        <v>17118368</v>
      </c>
      <c r="AT207" s="985">
        <v>15002975</v>
      </c>
      <c r="AU207" s="985">
        <v>22116442</v>
      </c>
      <c r="AV207" s="985">
        <v>6887011</v>
      </c>
      <c r="AW207" s="985">
        <v>0</v>
      </c>
      <c r="AX207" s="985">
        <v>43483993</v>
      </c>
      <c r="AY207" s="985">
        <v>946734762</v>
      </c>
      <c r="AZ207" s="985">
        <v>16216736</v>
      </c>
      <c r="BA207" s="985">
        <v>12085834</v>
      </c>
      <c r="BB207" s="985">
        <v>29315196</v>
      </c>
      <c r="BC207" s="985">
        <v>122965036</v>
      </c>
      <c r="BD207" s="985">
        <v>7365363</v>
      </c>
      <c r="BE207" s="985">
        <v>15471477</v>
      </c>
      <c r="BF207" s="985">
        <v>59895374</v>
      </c>
      <c r="BG207" s="985">
        <v>66590697</v>
      </c>
      <c r="BH207" s="985">
        <v>321963776</v>
      </c>
      <c r="BI207" s="985">
        <v>34356147</v>
      </c>
      <c r="BJ207" s="985">
        <v>15707131</v>
      </c>
      <c r="BK207" s="913"/>
      <c r="BL207" s="913"/>
    </row>
    <row r="208" spans="1:64" s="371" customFormat="1" x14ac:dyDescent="0.3">
      <c r="A208" s="949">
        <v>558</v>
      </c>
      <c r="B208" s="1017"/>
      <c r="C208" s="948">
        <v>558</v>
      </c>
      <c r="D208" s="998"/>
      <c r="E208" s="998"/>
      <c r="F208" s="999"/>
      <c r="G208" s="1000"/>
      <c r="H208" s="1000"/>
      <c r="I208" s="1000"/>
      <c r="J208" s="1000"/>
      <c r="K208" s="1000"/>
      <c r="L208" s="1001"/>
      <c r="M208" s="991"/>
      <c r="N208" s="991"/>
      <c r="O208" s="1002"/>
      <c r="P208" s="1002"/>
      <c r="Q208" s="1002"/>
      <c r="R208" s="1002"/>
      <c r="S208" s="1002"/>
      <c r="T208" s="1002"/>
      <c r="U208" s="1002"/>
      <c r="V208" s="1002"/>
      <c r="W208" s="1002"/>
      <c r="X208" s="1002"/>
      <c r="Y208" s="1002"/>
      <c r="Z208" s="1002"/>
      <c r="AA208" s="1002"/>
      <c r="AB208" s="1002"/>
      <c r="AC208" s="1002"/>
      <c r="AD208" s="991"/>
      <c r="AE208" s="991"/>
      <c r="AF208" s="991"/>
      <c r="AG208" s="991"/>
      <c r="AH208" s="991"/>
      <c r="AI208" s="991"/>
      <c r="AJ208" s="991"/>
      <c r="AK208" s="991"/>
      <c r="AL208" s="991"/>
      <c r="AM208" s="991"/>
      <c r="AN208" s="991"/>
      <c r="AO208" s="991"/>
      <c r="AP208" s="991"/>
      <c r="AQ208" s="991"/>
      <c r="AR208" s="991"/>
      <c r="AS208" s="991"/>
      <c r="AT208" s="991"/>
      <c r="AU208" s="991"/>
      <c r="AV208" s="991"/>
      <c r="AW208" s="991"/>
      <c r="AX208" s="991"/>
      <c r="AY208" s="991"/>
      <c r="AZ208" s="991"/>
      <c r="BA208" s="991"/>
      <c r="BB208" s="991"/>
      <c r="BC208" s="991"/>
      <c r="BD208" s="991"/>
      <c r="BE208" s="991"/>
      <c r="BF208" s="991"/>
      <c r="BG208" s="991"/>
      <c r="BH208" s="991"/>
      <c r="BI208" s="991"/>
      <c r="BJ208" s="991"/>
      <c r="BK208" s="915"/>
      <c r="BL208" s="915"/>
    </row>
    <row r="209" spans="1:64" s="371" customFormat="1" x14ac:dyDescent="0.3">
      <c r="A209" s="949">
        <v>559</v>
      </c>
      <c r="B209" s="1017"/>
      <c r="C209" s="948">
        <v>559</v>
      </c>
      <c r="D209" s="998"/>
      <c r="E209" s="998"/>
      <c r="F209" s="999"/>
      <c r="G209" s="1000"/>
      <c r="H209" s="1000"/>
      <c r="I209" s="1000"/>
      <c r="J209" s="1000"/>
      <c r="K209" s="1000"/>
      <c r="L209" s="1001"/>
      <c r="M209" s="991"/>
      <c r="N209" s="991"/>
      <c r="O209" s="1002"/>
      <c r="P209" s="1002"/>
      <c r="Q209" s="1002"/>
      <c r="R209" s="1002"/>
      <c r="S209" s="1002"/>
      <c r="T209" s="1002"/>
      <c r="U209" s="1002"/>
      <c r="V209" s="1002"/>
      <c r="W209" s="1002"/>
      <c r="X209" s="1002"/>
      <c r="Y209" s="1002"/>
      <c r="Z209" s="1002"/>
      <c r="AA209" s="1002"/>
      <c r="AB209" s="1002"/>
      <c r="AC209" s="1002"/>
      <c r="AD209" s="991"/>
      <c r="AE209" s="991"/>
      <c r="AF209" s="991"/>
      <c r="AG209" s="991"/>
      <c r="AH209" s="991"/>
      <c r="AI209" s="991"/>
      <c r="AJ209" s="991"/>
      <c r="AK209" s="991"/>
      <c r="AL209" s="991"/>
      <c r="AM209" s="991"/>
      <c r="AN209" s="991"/>
      <c r="AO209" s="991"/>
      <c r="AP209" s="991"/>
      <c r="AQ209" s="991"/>
      <c r="AR209" s="991"/>
      <c r="AS209" s="991"/>
      <c r="AT209" s="991"/>
      <c r="AU209" s="991"/>
      <c r="AV209" s="991"/>
      <c r="AW209" s="991"/>
      <c r="AX209" s="991"/>
      <c r="AY209" s="991"/>
      <c r="AZ209" s="991"/>
      <c r="BA209" s="991"/>
      <c r="BB209" s="991"/>
      <c r="BC209" s="991"/>
      <c r="BD209" s="991"/>
      <c r="BE209" s="991"/>
      <c r="BF209" s="991"/>
      <c r="BG209" s="991"/>
      <c r="BH209" s="991"/>
      <c r="BI209" s="991"/>
      <c r="BJ209" s="991"/>
      <c r="BK209" s="915"/>
      <c r="BL209" s="915"/>
    </row>
    <row r="210" spans="1:64" s="371" customFormat="1" x14ac:dyDescent="0.3">
      <c r="A210" s="949">
        <v>560</v>
      </c>
      <c r="B210" s="1017"/>
      <c r="C210" s="948">
        <v>560</v>
      </c>
      <c r="D210" s="998"/>
      <c r="E210" s="998"/>
      <c r="F210" s="999"/>
      <c r="G210" s="1000"/>
      <c r="H210" s="1000"/>
      <c r="I210" s="1000"/>
      <c r="J210" s="1000"/>
      <c r="K210" s="1000"/>
      <c r="L210" s="1001"/>
      <c r="M210" s="991"/>
      <c r="N210" s="991"/>
      <c r="O210" s="1002"/>
      <c r="P210" s="1002"/>
      <c r="Q210" s="1002"/>
      <c r="R210" s="1002"/>
      <c r="S210" s="1002"/>
      <c r="T210" s="1002"/>
      <c r="U210" s="1002"/>
      <c r="V210" s="1002"/>
      <c r="W210" s="1002"/>
      <c r="X210" s="1002"/>
      <c r="Y210" s="1002"/>
      <c r="Z210" s="1002"/>
      <c r="AA210" s="1002"/>
      <c r="AB210" s="1002"/>
      <c r="AC210" s="1002"/>
      <c r="AD210" s="991"/>
      <c r="AE210" s="991"/>
      <c r="AF210" s="991"/>
      <c r="AG210" s="991"/>
      <c r="AH210" s="991"/>
      <c r="AI210" s="991"/>
      <c r="AJ210" s="991"/>
      <c r="AK210" s="991"/>
      <c r="AL210" s="991"/>
      <c r="AM210" s="991"/>
      <c r="AN210" s="991"/>
      <c r="AO210" s="991"/>
      <c r="AP210" s="991"/>
      <c r="AQ210" s="991"/>
      <c r="AR210" s="991"/>
      <c r="AS210" s="991"/>
      <c r="AT210" s="991"/>
      <c r="AU210" s="991"/>
      <c r="AV210" s="991"/>
      <c r="AW210" s="991"/>
      <c r="AX210" s="991"/>
      <c r="AY210" s="991"/>
      <c r="AZ210" s="991"/>
      <c r="BA210" s="991"/>
      <c r="BB210" s="991"/>
      <c r="BC210" s="991"/>
      <c r="BD210" s="991"/>
      <c r="BE210" s="991"/>
      <c r="BF210" s="991"/>
      <c r="BG210" s="991"/>
      <c r="BH210" s="991"/>
      <c r="BI210" s="991"/>
      <c r="BJ210" s="991"/>
      <c r="BK210" s="915"/>
      <c r="BL210" s="915"/>
    </row>
    <row r="211" spans="1:64" s="371" customFormat="1" x14ac:dyDescent="0.3">
      <c r="A211" s="949">
        <v>561</v>
      </c>
      <c r="B211" s="1017"/>
      <c r="C211" s="948">
        <v>561</v>
      </c>
      <c r="D211" s="998"/>
      <c r="E211" s="998"/>
      <c r="F211" s="999"/>
      <c r="G211" s="1000"/>
      <c r="H211" s="1000"/>
      <c r="I211" s="1000"/>
      <c r="J211" s="1000"/>
      <c r="K211" s="1000"/>
      <c r="L211" s="1001"/>
      <c r="M211" s="991"/>
      <c r="N211" s="991"/>
      <c r="O211" s="1002"/>
      <c r="P211" s="1002"/>
      <c r="Q211" s="1002"/>
      <c r="R211" s="1002"/>
      <c r="S211" s="1002"/>
      <c r="T211" s="1002"/>
      <c r="U211" s="1002"/>
      <c r="V211" s="1002"/>
      <c r="W211" s="1002"/>
      <c r="X211" s="1002"/>
      <c r="Y211" s="1002"/>
      <c r="Z211" s="1002"/>
      <c r="AA211" s="1002"/>
      <c r="AB211" s="1002"/>
      <c r="AC211" s="1002"/>
      <c r="AD211" s="991"/>
      <c r="AE211" s="991"/>
      <c r="AF211" s="991"/>
      <c r="AG211" s="991"/>
      <c r="AH211" s="991"/>
      <c r="AI211" s="991"/>
      <c r="AJ211" s="991"/>
      <c r="AK211" s="991"/>
      <c r="AL211" s="991"/>
      <c r="AM211" s="991"/>
      <c r="AN211" s="991"/>
      <c r="AO211" s="991"/>
      <c r="AP211" s="991"/>
      <c r="AQ211" s="991"/>
      <c r="AR211" s="991"/>
      <c r="AS211" s="991"/>
      <c r="AT211" s="991"/>
      <c r="AU211" s="991"/>
      <c r="AV211" s="991"/>
      <c r="AW211" s="991"/>
      <c r="AX211" s="991"/>
      <c r="AY211" s="991"/>
      <c r="AZ211" s="991"/>
      <c r="BA211" s="991"/>
      <c r="BB211" s="991"/>
      <c r="BC211" s="991"/>
      <c r="BD211" s="991"/>
      <c r="BE211" s="991"/>
      <c r="BF211" s="991"/>
      <c r="BG211" s="991"/>
      <c r="BH211" s="991"/>
      <c r="BI211" s="991"/>
      <c r="BJ211" s="991"/>
      <c r="BK211" s="915"/>
      <c r="BL211" s="915"/>
    </row>
    <row r="212" spans="1:64" s="371" customFormat="1" x14ac:dyDescent="0.3">
      <c r="A212" s="949">
        <v>562</v>
      </c>
      <c r="B212" s="1017"/>
      <c r="C212" s="948">
        <v>562</v>
      </c>
      <c r="D212" s="998"/>
      <c r="E212" s="998"/>
      <c r="F212" s="999"/>
      <c r="G212" s="1000"/>
      <c r="H212" s="1000"/>
      <c r="I212" s="1000"/>
      <c r="J212" s="1000"/>
      <c r="K212" s="1000"/>
      <c r="L212" s="1001"/>
      <c r="M212" s="991"/>
      <c r="N212" s="991"/>
      <c r="O212" s="1002"/>
      <c r="P212" s="1002"/>
      <c r="Q212" s="1002"/>
      <c r="R212" s="1002"/>
      <c r="S212" s="1002"/>
      <c r="T212" s="1002"/>
      <c r="U212" s="1002"/>
      <c r="V212" s="1002"/>
      <c r="W212" s="1002"/>
      <c r="X212" s="1002"/>
      <c r="Y212" s="1002"/>
      <c r="Z212" s="1002"/>
      <c r="AA212" s="1002"/>
      <c r="AB212" s="1002"/>
      <c r="AC212" s="1002"/>
      <c r="AD212" s="991"/>
      <c r="AE212" s="991"/>
      <c r="AF212" s="991"/>
      <c r="AG212" s="991"/>
      <c r="AH212" s="991"/>
      <c r="AI212" s="991"/>
      <c r="AJ212" s="991"/>
      <c r="AK212" s="991"/>
      <c r="AL212" s="991"/>
      <c r="AM212" s="991"/>
      <c r="AN212" s="991"/>
      <c r="AO212" s="991"/>
      <c r="AP212" s="991"/>
      <c r="AQ212" s="991"/>
      <c r="AR212" s="991"/>
      <c r="AS212" s="991"/>
      <c r="AT212" s="991"/>
      <c r="AU212" s="991"/>
      <c r="AV212" s="991"/>
      <c r="AW212" s="991"/>
      <c r="AX212" s="991"/>
      <c r="AY212" s="991"/>
      <c r="AZ212" s="991"/>
      <c r="BA212" s="991"/>
      <c r="BB212" s="991"/>
      <c r="BC212" s="991"/>
      <c r="BD212" s="991"/>
      <c r="BE212" s="991"/>
      <c r="BF212" s="991"/>
      <c r="BG212" s="991"/>
      <c r="BH212" s="991"/>
      <c r="BI212" s="991"/>
      <c r="BJ212" s="991"/>
      <c r="BK212" s="915"/>
      <c r="BL212" s="915"/>
    </row>
    <row r="213" spans="1:64" s="371" customFormat="1" x14ac:dyDescent="0.3">
      <c r="A213" s="949">
        <v>563</v>
      </c>
      <c r="B213" s="1017"/>
      <c r="C213" s="948">
        <v>563</v>
      </c>
      <c r="D213" s="998"/>
      <c r="E213" s="998"/>
      <c r="F213" s="999"/>
      <c r="G213" s="1000"/>
      <c r="H213" s="1000"/>
      <c r="I213" s="1000"/>
      <c r="J213" s="1000"/>
      <c r="K213" s="1000"/>
      <c r="L213" s="1001"/>
      <c r="M213" s="991"/>
      <c r="N213" s="991"/>
      <c r="O213" s="1002"/>
      <c r="P213" s="1002"/>
      <c r="Q213" s="1002"/>
      <c r="R213" s="1002"/>
      <c r="S213" s="1002"/>
      <c r="T213" s="1002"/>
      <c r="U213" s="1002"/>
      <c r="V213" s="1002"/>
      <c r="W213" s="1002"/>
      <c r="X213" s="1002"/>
      <c r="Y213" s="1002"/>
      <c r="Z213" s="1002"/>
      <c r="AA213" s="1002"/>
      <c r="AB213" s="1002"/>
      <c r="AC213" s="1002"/>
      <c r="AD213" s="991"/>
      <c r="AE213" s="991"/>
      <c r="AF213" s="991"/>
      <c r="AG213" s="991"/>
      <c r="AH213" s="991"/>
      <c r="AI213" s="991"/>
      <c r="AJ213" s="991"/>
      <c r="AK213" s="991"/>
      <c r="AL213" s="991"/>
      <c r="AM213" s="991"/>
      <c r="AN213" s="991"/>
      <c r="AO213" s="991"/>
      <c r="AP213" s="991"/>
      <c r="AQ213" s="991"/>
      <c r="AR213" s="991"/>
      <c r="AS213" s="991"/>
      <c r="AT213" s="991"/>
      <c r="AU213" s="991"/>
      <c r="AV213" s="991"/>
      <c r="AW213" s="991"/>
      <c r="AX213" s="991"/>
      <c r="AY213" s="991"/>
      <c r="AZ213" s="991"/>
      <c r="BA213" s="991"/>
      <c r="BB213" s="991"/>
      <c r="BC213" s="991"/>
      <c r="BD213" s="991"/>
      <c r="BE213" s="991"/>
      <c r="BF213" s="991"/>
      <c r="BG213" s="991"/>
      <c r="BH213" s="991"/>
      <c r="BI213" s="991"/>
      <c r="BJ213" s="991"/>
      <c r="BK213" s="915"/>
      <c r="BL213" s="915"/>
    </row>
    <row r="214" spans="1:64" s="371" customFormat="1" x14ac:dyDescent="0.3">
      <c r="A214" s="949">
        <v>564</v>
      </c>
      <c r="B214" s="1017"/>
      <c r="C214" s="948">
        <v>564</v>
      </c>
      <c r="D214" s="998"/>
      <c r="E214" s="998"/>
      <c r="F214" s="999"/>
      <c r="G214" s="1000"/>
      <c r="H214" s="1000"/>
      <c r="I214" s="1000"/>
      <c r="J214" s="1000"/>
      <c r="K214" s="1000"/>
      <c r="L214" s="1001"/>
      <c r="M214" s="991"/>
      <c r="N214" s="991"/>
      <c r="O214" s="1002"/>
      <c r="P214" s="1002"/>
      <c r="Q214" s="1002"/>
      <c r="R214" s="1002"/>
      <c r="S214" s="1002"/>
      <c r="T214" s="1002"/>
      <c r="U214" s="1002"/>
      <c r="V214" s="1002"/>
      <c r="W214" s="1002"/>
      <c r="X214" s="1002"/>
      <c r="Y214" s="1002"/>
      <c r="Z214" s="1002"/>
      <c r="AA214" s="1002"/>
      <c r="AB214" s="1002"/>
      <c r="AC214" s="1002"/>
      <c r="AD214" s="991"/>
      <c r="AE214" s="991"/>
      <c r="AF214" s="991"/>
      <c r="AG214" s="991"/>
      <c r="AH214" s="991"/>
      <c r="AI214" s="991"/>
      <c r="AJ214" s="991"/>
      <c r="AK214" s="991"/>
      <c r="AL214" s="991"/>
      <c r="AM214" s="991"/>
      <c r="AN214" s="991"/>
      <c r="AO214" s="991"/>
      <c r="AP214" s="991"/>
      <c r="AQ214" s="991"/>
      <c r="AR214" s="991"/>
      <c r="AS214" s="991"/>
      <c r="AT214" s="991"/>
      <c r="AU214" s="991"/>
      <c r="AV214" s="991"/>
      <c r="AW214" s="991"/>
      <c r="AX214" s="991"/>
      <c r="AY214" s="991"/>
      <c r="AZ214" s="991"/>
      <c r="BA214" s="991"/>
      <c r="BB214" s="991"/>
      <c r="BC214" s="991"/>
      <c r="BD214" s="991"/>
      <c r="BE214" s="991"/>
      <c r="BF214" s="991"/>
      <c r="BG214" s="991"/>
      <c r="BH214" s="991"/>
      <c r="BI214" s="991"/>
      <c r="BJ214" s="991"/>
      <c r="BK214" s="915"/>
      <c r="BL214" s="915"/>
    </row>
    <row r="215" spans="1:64" s="371" customFormat="1" x14ac:dyDescent="0.3">
      <c r="A215" s="949">
        <v>565</v>
      </c>
      <c r="B215" s="1017"/>
      <c r="C215" s="948">
        <v>565</v>
      </c>
      <c r="D215" s="998"/>
      <c r="E215" s="998"/>
      <c r="F215" s="999"/>
      <c r="G215" s="1000"/>
      <c r="H215" s="1000"/>
      <c r="I215" s="1000"/>
      <c r="J215" s="1000"/>
      <c r="K215" s="1000"/>
      <c r="L215" s="1001"/>
      <c r="M215" s="991"/>
      <c r="N215" s="991"/>
      <c r="O215" s="1002"/>
      <c r="P215" s="1002"/>
      <c r="Q215" s="1002"/>
      <c r="R215" s="1002"/>
      <c r="S215" s="1002"/>
      <c r="T215" s="1002"/>
      <c r="U215" s="1002"/>
      <c r="V215" s="1002"/>
      <c r="W215" s="1002"/>
      <c r="X215" s="1002"/>
      <c r="Y215" s="1002"/>
      <c r="Z215" s="1002"/>
      <c r="AA215" s="1002"/>
      <c r="AB215" s="1002"/>
      <c r="AC215" s="1002"/>
      <c r="AD215" s="991"/>
      <c r="AE215" s="991"/>
      <c r="AF215" s="991"/>
      <c r="AG215" s="991"/>
      <c r="AH215" s="991"/>
      <c r="AI215" s="991"/>
      <c r="AJ215" s="991"/>
      <c r="AK215" s="991"/>
      <c r="AL215" s="991"/>
      <c r="AM215" s="991"/>
      <c r="AN215" s="991"/>
      <c r="AO215" s="991"/>
      <c r="AP215" s="991"/>
      <c r="AQ215" s="991"/>
      <c r="AR215" s="991"/>
      <c r="AS215" s="991"/>
      <c r="AT215" s="991"/>
      <c r="AU215" s="991"/>
      <c r="AV215" s="991"/>
      <c r="AW215" s="991"/>
      <c r="AX215" s="991"/>
      <c r="AY215" s="991"/>
      <c r="AZ215" s="991"/>
      <c r="BA215" s="991"/>
      <c r="BB215" s="991"/>
      <c r="BC215" s="991"/>
      <c r="BD215" s="991"/>
      <c r="BE215" s="991"/>
      <c r="BF215" s="991"/>
      <c r="BG215" s="991"/>
      <c r="BH215" s="991"/>
      <c r="BI215" s="991"/>
      <c r="BJ215" s="991"/>
      <c r="BK215" s="915"/>
      <c r="BL215" s="915"/>
    </row>
    <row r="216" spans="1:64" s="371" customFormat="1" x14ac:dyDescent="0.3">
      <c r="A216" s="949">
        <v>566</v>
      </c>
      <c r="B216" s="1017"/>
      <c r="C216" s="948">
        <v>566</v>
      </c>
      <c r="D216" s="998"/>
      <c r="E216" s="998"/>
      <c r="F216" s="999"/>
      <c r="G216" s="1000"/>
      <c r="H216" s="1000"/>
      <c r="I216" s="1000"/>
      <c r="J216" s="1000"/>
      <c r="K216" s="1000"/>
      <c r="L216" s="1001"/>
      <c r="M216" s="991"/>
      <c r="N216" s="991"/>
      <c r="O216" s="1002"/>
      <c r="P216" s="1002"/>
      <c r="Q216" s="1002"/>
      <c r="R216" s="1002"/>
      <c r="S216" s="1002"/>
      <c r="T216" s="1002"/>
      <c r="U216" s="1002"/>
      <c r="V216" s="1002"/>
      <c r="W216" s="1002"/>
      <c r="X216" s="1002"/>
      <c r="Y216" s="1002"/>
      <c r="Z216" s="1002"/>
      <c r="AA216" s="1002"/>
      <c r="AB216" s="1002"/>
      <c r="AC216" s="1002"/>
      <c r="AD216" s="991"/>
      <c r="AE216" s="991"/>
      <c r="AF216" s="991"/>
      <c r="AG216" s="991"/>
      <c r="AH216" s="991"/>
      <c r="AI216" s="991"/>
      <c r="AJ216" s="991"/>
      <c r="AK216" s="991"/>
      <c r="AL216" s="991"/>
      <c r="AM216" s="991"/>
      <c r="AN216" s="991"/>
      <c r="AO216" s="991"/>
      <c r="AP216" s="991"/>
      <c r="AQ216" s="991"/>
      <c r="AR216" s="991"/>
      <c r="AS216" s="991"/>
      <c r="AT216" s="991"/>
      <c r="AU216" s="991"/>
      <c r="AV216" s="991"/>
      <c r="AW216" s="991"/>
      <c r="AX216" s="991"/>
      <c r="AY216" s="991"/>
      <c r="AZ216" s="991"/>
      <c r="BA216" s="991"/>
      <c r="BB216" s="991"/>
      <c r="BC216" s="991"/>
      <c r="BD216" s="991"/>
      <c r="BE216" s="991"/>
      <c r="BF216" s="991"/>
      <c r="BG216" s="991"/>
      <c r="BH216" s="991"/>
      <c r="BI216" s="991"/>
      <c r="BJ216" s="991"/>
      <c r="BK216" s="915"/>
      <c r="BL216" s="915"/>
    </row>
    <row r="217" spans="1:64" s="371" customFormat="1" x14ac:dyDescent="0.3">
      <c r="A217" s="949">
        <v>567</v>
      </c>
      <c r="B217" s="1017"/>
      <c r="C217" s="948">
        <v>567</v>
      </c>
      <c r="D217" s="998"/>
      <c r="E217" s="998"/>
      <c r="F217" s="999"/>
      <c r="G217" s="1000"/>
      <c r="H217" s="1000"/>
      <c r="I217" s="1000"/>
      <c r="J217" s="1000"/>
      <c r="K217" s="1000"/>
      <c r="L217" s="1001"/>
      <c r="M217" s="991"/>
      <c r="N217" s="991"/>
      <c r="O217" s="1002"/>
      <c r="P217" s="1002"/>
      <c r="Q217" s="1002"/>
      <c r="R217" s="1002"/>
      <c r="S217" s="1002"/>
      <c r="T217" s="1002"/>
      <c r="U217" s="1002"/>
      <c r="V217" s="1002"/>
      <c r="W217" s="1002"/>
      <c r="X217" s="1002"/>
      <c r="Y217" s="1002"/>
      <c r="Z217" s="1002"/>
      <c r="AA217" s="1002"/>
      <c r="AB217" s="1002"/>
      <c r="AC217" s="1002"/>
      <c r="AD217" s="991"/>
      <c r="AE217" s="991"/>
      <c r="AF217" s="991"/>
      <c r="AG217" s="991"/>
      <c r="AH217" s="991"/>
      <c r="AI217" s="991"/>
      <c r="AJ217" s="991"/>
      <c r="AK217" s="991"/>
      <c r="AL217" s="991"/>
      <c r="AM217" s="991"/>
      <c r="AN217" s="991"/>
      <c r="AO217" s="991"/>
      <c r="AP217" s="991"/>
      <c r="AQ217" s="991"/>
      <c r="AR217" s="991"/>
      <c r="AS217" s="991"/>
      <c r="AT217" s="991"/>
      <c r="AU217" s="991"/>
      <c r="AV217" s="991"/>
      <c r="AW217" s="991"/>
      <c r="AX217" s="991"/>
      <c r="AY217" s="991"/>
      <c r="AZ217" s="991"/>
      <c r="BA217" s="991"/>
      <c r="BB217" s="991"/>
      <c r="BC217" s="991"/>
      <c r="BD217" s="991"/>
      <c r="BE217" s="991"/>
      <c r="BF217" s="991"/>
      <c r="BG217" s="991"/>
      <c r="BH217" s="991"/>
      <c r="BI217" s="991"/>
      <c r="BJ217" s="991"/>
      <c r="BK217" s="915"/>
      <c r="BL217" s="915"/>
    </row>
    <row r="218" spans="1:64" s="371" customFormat="1" x14ac:dyDescent="0.3">
      <c r="A218" s="949">
        <v>568</v>
      </c>
      <c r="B218" s="1017"/>
      <c r="C218" s="948">
        <v>568</v>
      </c>
      <c r="D218" s="998"/>
      <c r="E218" s="998"/>
      <c r="F218" s="999"/>
      <c r="G218" s="1000"/>
      <c r="H218" s="1000"/>
      <c r="I218" s="1000"/>
      <c r="J218" s="1000"/>
      <c r="K218" s="1000"/>
      <c r="L218" s="1001"/>
      <c r="M218" s="991"/>
      <c r="N218" s="991"/>
      <c r="O218" s="1002"/>
      <c r="P218" s="1002"/>
      <c r="Q218" s="1002"/>
      <c r="R218" s="1002"/>
      <c r="S218" s="1002"/>
      <c r="T218" s="1002"/>
      <c r="U218" s="1002"/>
      <c r="V218" s="1002"/>
      <c r="W218" s="1002"/>
      <c r="X218" s="1002"/>
      <c r="Y218" s="1002"/>
      <c r="Z218" s="1002"/>
      <c r="AA218" s="1002"/>
      <c r="AB218" s="1002"/>
      <c r="AC218" s="1002"/>
      <c r="AD218" s="991"/>
      <c r="AE218" s="991"/>
      <c r="AF218" s="991"/>
      <c r="AG218" s="991"/>
      <c r="AH218" s="991"/>
      <c r="AI218" s="991"/>
      <c r="AJ218" s="991"/>
      <c r="AK218" s="991"/>
      <c r="AL218" s="991"/>
      <c r="AM218" s="991"/>
      <c r="AN218" s="991"/>
      <c r="AO218" s="991"/>
      <c r="AP218" s="991"/>
      <c r="AQ218" s="991"/>
      <c r="AR218" s="991"/>
      <c r="AS218" s="991"/>
      <c r="AT218" s="991"/>
      <c r="AU218" s="991"/>
      <c r="AV218" s="991"/>
      <c r="AW218" s="991"/>
      <c r="AX218" s="991"/>
      <c r="AY218" s="991"/>
      <c r="AZ218" s="991"/>
      <c r="BA218" s="991"/>
      <c r="BB218" s="991"/>
      <c r="BC218" s="991"/>
      <c r="BD218" s="991"/>
      <c r="BE218" s="991"/>
      <c r="BF218" s="991"/>
      <c r="BG218" s="991"/>
      <c r="BH218" s="991"/>
      <c r="BI218" s="991"/>
      <c r="BJ218" s="991"/>
      <c r="BK218" s="915"/>
      <c r="BL218" s="915"/>
    </row>
    <row r="219" spans="1:64" s="371" customFormat="1" x14ac:dyDescent="0.3">
      <c r="A219" s="949">
        <v>569</v>
      </c>
      <c r="B219" s="1017"/>
      <c r="C219" s="948">
        <v>569</v>
      </c>
      <c r="D219" s="998"/>
      <c r="E219" s="998"/>
      <c r="F219" s="999"/>
      <c r="G219" s="1000"/>
      <c r="H219" s="1000"/>
      <c r="I219" s="1000"/>
      <c r="J219" s="1000"/>
      <c r="K219" s="1000"/>
      <c r="L219" s="1001"/>
      <c r="M219" s="991"/>
      <c r="N219" s="991"/>
      <c r="O219" s="1002"/>
      <c r="P219" s="1002"/>
      <c r="Q219" s="1002"/>
      <c r="R219" s="1002"/>
      <c r="S219" s="1002"/>
      <c r="T219" s="1002"/>
      <c r="U219" s="1002"/>
      <c r="V219" s="1002"/>
      <c r="W219" s="1002"/>
      <c r="X219" s="1002"/>
      <c r="Y219" s="1002"/>
      <c r="Z219" s="1002"/>
      <c r="AA219" s="1002"/>
      <c r="AB219" s="1002"/>
      <c r="AC219" s="1002"/>
      <c r="AD219" s="991"/>
      <c r="AE219" s="991"/>
      <c r="AF219" s="991"/>
      <c r="AG219" s="991"/>
      <c r="AH219" s="991"/>
      <c r="AI219" s="991"/>
      <c r="AJ219" s="991"/>
      <c r="AK219" s="991"/>
      <c r="AL219" s="991"/>
      <c r="AM219" s="991"/>
      <c r="AN219" s="991"/>
      <c r="AO219" s="991"/>
      <c r="AP219" s="991"/>
      <c r="AQ219" s="991"/>
      <c r="AR219" s="991"/>
      <c r="AS219" s="991"/>
      <c r="AT219" s="991"/>
      <c r="AU219" s="991"/>
      <c r="AV219" s="991"/>
      <c r="AW219" s="991"/>
      <c r="AX219" s="991"/>
      <c r="AY219" s="991"/>
      <c r="AZ219" s="991"/>
      <c r="BA219" s="991"/>
      <c r="BB219" s="991"/>
      <c r="BC219" s="991"/>
      <c r="BD219" s="991"/>
      <c r="BE219" s="991"/>
      <c r="BF219" s="991"/>
      <c r="BG219" s="991"/>
      <c r="BH219" s="991"/>
      <c r="BI219" s="991"/>
      <c r="BJ219" s="991"/>
      <c r="BK219" s="915"/>
      <c r="BL219" s="915"/>
    </row>
    <row r="220" spans="1:64" s="371" customFormat="1" x14ac:dyDescent="0.3">
      <c r="A220" s="949">
        <v>570</v>
      </c>
      <c r="B220" s="1017"/>
      <c r="C220" s="948">
        <v>570</v>
      </c>
      <c r="D220" s="998"/>
      <c r="E220" s="998"/>
      <c r="F220" s="999"/>
      <c r="G220" s="1000"/>
      <c r="H220" s="1000"/>
      <c r="I220" s="1000"/>
      <c r="J220" s="1000"/>
      <c r="K220" s="1000"/>
      <c r="L220" s="1001"/>
      <c r="M220" s="991"/>
      <c r="N220" s="991"/>
      <c r="O220" s="1002"/>
      <c r="P220" s="1002"/>
      <c r="Q220" s="1002"/>
      <c r="R220" s="1002"/>
      <c r="S220" s="1002"/>
      <c r="T220" s="1002"/>
      <c r="U220" s="1002"/>
      <c r="V220" s="1002"/>
      <c r="W220" s="1002"/>
      <c r="X220" s="1002"/>
      <c r="Y220" s="1002"/>
      <c r="Z220" s="1002"/>
      <c r="AA220" s="1002"/>
      <c r="AB220" s="1002"/>
      <c r="AC220" s="1002"/>
      <c r="AD220" s="991"/>
      <c r="AE220" s="991"/>
      <c r="AF220" s="991"/>
      <c r="AG220" s="991"/>
      <c r="AH220" s="991"/>
      <c r="AI220" s="991"/>
      <c r="AJ220" s="991"/>
      <c r="AK220" s="991"/>
      <c r="AL220" s="991"/>
      <c r="AM220" s="991"/>
      <c r="AN220" s="991"/>
      <c r="AO220" s="991"/>
      <c r="AP220" s="991"/>
      <c r="AQ220" s="991"/>
      <c r="AR220" s="991"/>
      <c r="AS220" s="991"/>
      <c r="AT220" s="991"/>
      <c r="AU220" s="991"/>
      <c r="AV220" s="991"/>
      <c r="AW220" s="991"/>
      <c r="AX220" s="991"/>
      <c r="AY220" s="991"/>
      <c r="AZ220" s="991"/>
      <c r="BA220" s="991"/>
      <c r="BB220" s="991"/>
      <c r="BC220" s="991"/>
      <c r="BD220" s="991"/>
      <c r="BE220" s="991"/>
      <c r="BF220" s="991"/>
      <c r="BG220" s="991"/>
      <c r="BH220" s="991"/>
      <c r="BI220" s="991"/>
      <c r="BJ220" s="991"/>
      <c r="BK220" s="915"/>
      <c r="BL220" s="915"/>
    </row>
    <row r="221" spans="1:64" s="371" customFormat="1" x14ac:dyDescent="0.3">
      <c r="A221" s="949">
        <v>571</v>
      </c>
      <c r="B221" s="1017"/>
      <c r="C221" s="948">
        <v>571</v>
      </c>
      <c r="D221" s="998"/>
      <c r="E221" s="998"/>
      <c r="F221" s="999"/>
      <c r="G221" s="1000"/>
      <c r="H221" s="1000"/>
      <c r="I221" s="1000"/>
      <c r="J221" s="1000"/>
      <c r="K221" s="1000"/>
      <c r="L221" s="1001"/>
      <c r="M221" s="991"/>
      <c r="N221" s="991"/>
      <c r="O221" s="1002"/>
      <c r="P221" s="1002"/>
      <c r="Q221" s="1002"/>
      <c r="R221" s="1002"/>
      <c r="S221" s="1002"/>
      <c r="T221" s="1002"/>
      <c r="U221" s="1002"/>
      <c r="V221" s="1002"/>
      <c r="W221" s="1002"/>
      <c r="X221" s="1002"/>
      <c r="Y221" s="1002"/>
      <c r="Z221" s="1002"/>
      <c r="AA221" s="1002"/>
      <c r="AB221" s="1002"/>
      <c r="AC221" s="1002"/>
      <c r="AD221" s="991"/>
      <c r="AE221" s="991"/>
      <c r="AF221" s="991"/>
      <c r="AG221" s="991"/>
      <c r="AH221" s="991"/>
      <c r="AI221" s="991"/>
      <c r="AJ221" s="991"/>
      <c r="AK221" s="991"/>
      <c r="AL221" s="991"/>
      <c r="AM221" s="991"/>
      <c r="AN221" s="991"/>
      <c r="AO221" s="991"/>
      <c r="AP221" s="991"/>
      <c r="AQ221" s="991"/>
      <c r="AR221" s="991"/>
      <c r="AS221" s="991"/>
      <c r="AT221" s="991"/>
      <c r="AU221" s="991"/>
      <c r="AV221" s="991"/>
      <c r="AW221" s="991"/>
      <c r="AX221" s="991"/>
      <c r="AY221" s="991"/>
      <c r="AZ221" s="991"/>
      <c r="BA221" s="991"/>
      <c r="BB221" s="991"/>
      <c r="BC221" s="991"/>
      <c r="BD221" s="991"/>
      <c r="BE221" s="991"/>
      <c r="BF221" s="991"/>
      <c r="BG221" s="991"/>
      <c r="BH221" s="991"/>
      <c r="BI221" s="991"/>
      <c r="BJ221" s="991"/>
      <c r="BK221" s="915"/>
      <c r="BL221" s="915"/>
    </row>
    <row r="222" spans="1:64" s="371" customFormat="1" x14ac:dyDescent="0.3">
      <c r="A222" s="949">
        <v>572</v>
      </c>
      <c r="B222" s="1017"/>
      <c r="C222" s="948">
        <v>572</v>
      </c>
      <c r="D222" s="998"/>
      <c r="E222" s="998"/>
      <c r="F222" s="999"/>
      <c r="G222" s="1000"/>
      <c r="H222" s="1000"/>
      <c r="I222" s="1000"/>
      <c r="J222" s="1000"/>
      <c r="K222" s="1000"/>
      <c r="L222" s="1001"/>
      <c r="M222" s="991"/>
      <c r="N222" s="991"/>
      <c r="O222" s="1002"/>
      <c r="P222" s="1002"/>
      <c r="Q222" s="1002"/>
      <c r="R222" s="1002"/>
      <c r="S222" s="1002"/>
      <c r="T222" s="1002"/>
      <c r="U222" s="1002"/>
      <c r="V222" s="1002"/>
      <c r="W222" s="1002"/>
      <c r="X222" s="1002"/>
      <c r="Y222" s="1002"/>
      <c r="Z222" s="1002"/>
      <c r="AA222" s="1002"/>
      <c r="AB222" s="1002"/>
      <c r="AC222" s="1002"/>
      <c r="AD222" s="991"/>
      <c r="AE222" s="991"/>
      <c r="AF222" s="991"/>
      <c r="AG222" s="991"/>
      <c r="AH222" s="991"/>
      <c r="AI222" s="991"/>
      <c r="AJ222" s="991"/>
      <c r="AK222" s="991"/>
      <c r="AL222" s="991"/>
      <c r="AM222" s="991"/>
      <c r="AN222" s="991"/>
      <c r="AO222" s="991"/>
      <c r="AP222" s="991"/>
      <c r="AQ222" s="991"/>
      <c r="AR222" s="991"/>
      <c r="AS222" s="991"/>
      <c r="AT222" s="991"/>
      <c r="AU222" s="991"/>
      <c r="AV222" s="991"/>
      <c r="AW222" s="991"/>
      <c r="AX222" s="991"/>
      <c r="AY222" s="991"/>
      <c r="AZ222" s="991"/>
      <c r="BA222" s="991"/>
      <c r="BB222" s="991"/>
      <c r="BC222" s="991"/>
      <c r="BD222" s="991"/>
      <c r="BE222" s="991"/>
      <c r="BF222" s="991"/>
      <c r="BG222" s="991"/>
      <c r="BH222" s="991"/>
      <c r="BI222" s="991"/>
      <c r="BJ222" s="991"/>
      <c r="BK222" s="915"/>
      <c r="BL222" s="915"/>
    </row>
    <row r="223" spans="1:64" s="371" customFormat="1" x14ac:dyDescent="0.3">
      <c r="A223" s="949">
        <v>573</v>
      </c>
      <c r="B223" s="1017"/>
      <c r="C223" s="948">
        <v>573</v>
      </c>
      <c r="D223" s="998"/>
      <c r="E223" s="998"/>
      <c r="F223" s="999"/>
      <c r="G223" s="1000"/>
      <c r="H223" s="1000"/>
      <c r="I223" s="1000"/>
      <c r="J223" s="1000"/>
      <c r="K223" s="1000"/>
      <c r="L223" s="1001"/>
      <c r="M223" s="991"/>
      <c r="N223" s="991"/>
      <c r="O223" s="1002"/>
      <c r="P223" s="1002"/>
      <c r="Q223" s="1002"/>
      <c r="R223" s="1002"/>
      <c r="S223" s="1002"/>
      <c r="T223" s="1002"/>
      <c r="U223" s="1002"/>
      <c r="V223" s="1002"/>
      <c r="W223" s="1002"/>
      <c r="X223" s="1002"/>
      <c r="Y223" s="1002"/>
      <c r="Z223" s="1002"/>
      <c r="AA223" s="1002"/>
      <c r="AB223" s="1002"/>
      <c r="AC223" s="1002"/>
      <c r="AD223" s="991"/>
      <c r="AE223" s="991"/>
      <c r="AF223" s="991"/>
      <c r="AG223" s="991"/>
      <c r="AH223" s="991"/>
      <c r="AI223" s="991"/>
      <c r="AJ223" s="991"/>
      <c r="AK223" s="991"/>
      <c r="AL223" s="991"/>
      <c r="AM223" s="991"/>
      <c r="AN223" s="991"/>
      <c r="AO223" s="991"/>
      <c r="AP223" s="991"/>
      <c r="AQ223" s="991"/>
      <c r="AR223" s="991"/>
      <c r="AS223" s="991"/>
      <c r="AT223" s="991"/>
      <c r="AU223" s="991"/>
      <c r="AV223" s="991"/>
      <c r="AW223" s="991"/>
      <c r="AX223" s="991"/>
      <c r="AY223" s="991"/>
      <c r="AZ223" s="991"/>
      <c r="BA223" s="991"/>
      <c r="BB223" s="991"/>
      <c r="BC223" s="991"/>
      <c r="BD223" s="991"/>
      <c r="BE223" s="991"/>
      <c r="BF223" s="991"/>
      <c r="BG223" s="991"/>
      <c r="BH223" s="991"/>
      <c r="BI223" s="991"/>
      <c r="BJ223" s="991"/>
      <c r="BK223" s="915"/>
      <c r="BL223" s="915"/>
    </row>
    <row r="224" spans="1:64" s="371" customFormat="1" x14ac:dyDescent="0.3">
      <c r="A224" s="949">
        <v>574</v>
      </c>
      <c r="B224" s="1017"/>
      <c r="C224" s="948">
        <v>574</v>
      </c>
      <c r="D224" s="998"/>
      <c r="E224" s="998"/>
      <c r="F224" s="999"/>
      <c r="G224" s="1000"/>
      <c r="H224" s="1000"/>
      <c r="I224" s="1000"/>
      <c r="J224" s="1000"/>
      <c r="K224" s="1000"/>
      <c r="L224" s="1001"/>
      <c r="M224" s="991"/>
      <c r="N224" s="991"/>
      <c r="O224" s="1002"/>
      <c r="P224" s="1002"/>
      <c r="Q224" s="1002"/>
      <c r="R224" s="1002"/>
      <c r="S224" s="1002"/>
      <c r="T224" s="1002"/>
      <c r="U224" s="1002"/>
      <c r="V224" s="1002"/>
      <c r="W224" s="1002"/>
      <c r="X224" s="1002"/>
      <c r="Y224" s="1002"/>
      <c r="Z224" s="1002"/>
      <c r="AA224" s="1002"/>
      <c r="AB224" s="1002"/>
      <c r="AC224" s="1002"/>
      <c r="AD224" s="991"/>
      <c r="AE224" s="991"/>
      <c r="AF224" s="991"/>
      <c r="AG224" s="991"/>
      <c r="AH224" s="991"/>
      <c r="AI224" s="991"/>
      <c r="AJ224" s="991"/>
      <c r="AK224" s="991"/>
      <c r="AL224" s="991"/>
      <c r="AM224" s="991"/>
      <c r="AN224" s="991"/>
      <c r="AO224" s="991"/>
      <c r="AP224" s="991"/>
      <c r="AQ224" s="991"/>
      <c r="AR224" s="991"/>
      <c r="AS224" s="991"/>
      <c r="AT224" s="991"/>
      <c r="AU224" s="991"/>
      <c r="AV224" s="991"/>
      <c r="AW224" s="991"/>
      <c r="AX224" s="991"/>
      <c r="AY224" s="991"/>
      <c r="AZ224" s="991"/>
      <c r="BA224" s="991"/>
      <c r="BB224" s="991"/>
      <c r="BC224" s="991"/>
      <c r="BD224" s="991"/>
      <c r="BE224" s="991"/>
      <c r="BF224" s="991"/>
      <c r="BG224" s="991"/>
      <c r="BH224" s="991"/>
      <c r="BI224" s="991"/>
      <c r="BJ224" s="991"/>
      <c r="BK224" s="915"/>
      <c r="BL224" s="915"/>
    </row>
    <row r="225" spans="1:64" s="371" customFormat="1" x14ac:dyDescent="0.3">
      <c r="A225" s="949">
        <v>575</v>
      </c>
      <c r="B225" s="1017">
        <v>575</v>
      </c>
      <c r="C225" s="990">
        <v>575</v>
      </c>
      <c r="D225" s="990" t="s">
        <v>333</v>
      </c>
      <c r="E225" s="990"/>
      <c r="F225" s="965">
        <v>116331</v>
      </c>
      <c r="G225" s="966">
        <v>334301</v>
      </c>
      <c r="H225" s="966">
        <v>0</v>
      </c>
      <c r="I225" s="966">
        <v>0</v>
      </c>
      <c r="J225" s="966">
        <v>505983</v>
      </c>
      <c r="K225" s="966">
        <v>0</v>
      </c>
      <c r="L225" s="967">
        <v>46025</v>
      </c>
      <c r="M225" s="968">
        <v>0</v>
      </c>
      <c r="N225" s="968">
        <v>236906</v>
      </c>
      <c r="O225" s="969">
        <v>0</v>
      </c>
      <c r="P225" s="969">
        <v>0</v>
      </c>
      <c r="Q225" s="969">
        <v>0</v>
      </c>
      <c r="R225" s="969">
        <v>0</v>
      </c>
      <c r="S225" s="969">
        <v>0</v>
      </c>
      <c r="T225" s="969">
        <v>0</v>
      </c>
      <c r="U225" s="969">
        <v>0</v>
      </c>
      <c r="V225" s="969">
        <v>0</v>
      </c>
      <c r="W225" s="969">
        <v>0</v>
      </c>
      <c r="X225" s="969">
        <v>0</v>
      </c>
      <c r="Y225" s="969">
        <v>0</v>
      </c>
      <c r="Z225" s="969">
        <v>0</v>
      </c>
      <c r="AA225" s="969">
        <v>0</v>
      </c>
      <c r="AB225" s="969">
        <v>0</v>
      </c>
      <c r="AC225" s="969">
        <v>85000</v>
      </c>
      <c r="AD225" s="968">
        <v>0</v>
      </c>
      <c r="AE225" s="968">
        <v>0</v>
      </c>
      <c r="AF225" s="968">
        <v>0</v>
      </c>
      <c r="AG225" s="968">
        <v>0</v>
      </c>
      <c r="AH225" s="968">
        <v>0</v>
      </c>
      <c r="AI225" s="968">
        <v>0</v>
      </c>
      <c r="AJ225" s="968">
        <v>0</v>
      </c>
      <c r="AK225" s="968">
        <v>0</v>
      </c>
      <c r="AL225" s="968">
        <v>0</v>
      </c>
      <c r="AM225" s="968">
        <v>0</v>
      </c>
      <c r="AN225" s="968">
        <v>0</v>
      </c>
      <c r="AO225" s="968">
        <v>26586</v>
      </c>
      <c r="AP225" s="968">
        <v>0</v>
      </c>
      <c r="AQ225" s="968">
        <v>0</v>
      </c>
      <c r="AR225" s="968">
        <v>35839</v>
      </c>
      <c r="AS225" s="968">
        <v>147297</v>
      </c>
      <c r="AT225" s="968">
        <v>32197</v>
      </c>
      <c r="AU225" s="968">
        <v>38444</v>
      </c>
      <c r="AV225" s="968">
        <v>4003</v>
      </c>
      <c r="AW225" s="968">
        <v>990000</v>
      </c>
      <c r="AX225" s="968">
        <v>0</v>
      </c>
      <c r="AY225" s="968">
        <v>0</v>
      </c>
      <c r="AZ225" s="968">
        <v>65876</v>
      </c>
      <c r="BA225" s="968">
        <v>0</v>
      </c>
      <c r="BB225" s="968">
        <v>0</v>
      </c>
      <c r="BC225" s="968">
        <v>0</v>
      </c>
      <c r="BD225" s="968">
        <v>0</v>
      </c>
      <c r="BE225" s="968">
        <v>0</v>
      </c>
      <c r="BF225" s="968">
        <v>0</v>
      </c>
      <c r="BG225" s="968">
        <v>0</v>
      </c>
      <c r="BH225" s="968">
        <v>170848</v>
      </c>
      <c r="BI225" s="968">
        <v>0</v>
      </c>
      <c r="BJ225" s="968">
        <v>0</v>
      </c>
      <c r="BK225" s="913"/>
      <c r="BL225" s="913"/>
    </row>
    <row r="226" spans="1:64" s="371" customFormat="1" x14ac:dyDescent="0.3">
      <c r="A226" s="949">
        <v>576</v>
      </c>
      <c r="B226" s="1017">
        <v>576</v>
      </c>
      <c r="C226" s="990">
        <v>576</v>
      </c>
      <c r="D226" s="990" t="s">
        <v>334</v>
      </c>
      <c r="E226" s="990"/>
      <c r="F226" s="965">
        <v>0</v>
      </c>
      <c r="G226" s="966">
        <v>0</v>
      </c>
      <c r="H226" s="966">
        <v>0</v>
      </c>
      <c r="I226" s="966">
        <v>0</v>
      </c>
      <c r="J226" s="966">
        <v>0</v>
      </c>
      <c r="K226" s="966">
        <v>0</v>
      </c>
      <c r="L226" s="967">
        <v>0</v>
      </c>
      <c r="M226" s="968">
        <v>0</v>
      </c>
      <c r="N226" s="968">
        <v>0</v>
      </c>
      <c r="O226" s="969">
        <v>0</v>
      </c>
      <c r="P226" s="969">
        <v>0</v>
      </c>
      <c r="Q226" s="969">
        <v>0</v>
      </c>
      <c r="R226" s="969">
        <v>0</v>
      </c>
      <c r="S226" s="969">
        <v>0</v>
      </c>
      <c r="T226" s="969">
        <v>0</v>
      </c>
      <c r="U226" s="969">
        <v>947437</v>
      </c>
      <c r="V226" s="969">
        <v>0</v>
      </c>
      <c r="W226" s="969">
        <v>113463</v>
      </c>
      <c r="X226" s="969">
        <v>129894</v>
      </c>
      <c r="Y226" s="969">
        <v>1960</v>
      </c>
      <c r="Z226" s="969">
        <v>0</v>
      </c>
      <c r="AA226" s="969">
        <v>0</v>
      </c>
      <c r="AB226" s="969">
        <v>117961</v>
      </c>
      <c r="AC226" s="969">
        <v>0</v>
      </c>
      <c r="AD226" s="968">
        <v>0</v>
      </c>
      <c r="AE226" s="968">
        <v>0</v>
      </c>
      <c r="AF226" s="968">
        <v>0</v>
      </c>
      <c r="AG226" s="968">
        <v>0</v>
      </c>
      <c r="AH226" s="968">
        <v>0</v>
      </c>
      <c r="AI226" s="968">
        <v>0</v>
      </c>
      <c r="AJ226" s="968">
        <v>151500</v>
      </c>
      <c r="AK226" s="968">
        <v>0</v>
      </c>
      <c r="AL226" s="968">
        <v>0</v>
      </c>
      <c r="AM226" s="968">
        <v>0</v>
      </c>
      <c r="AN226" s="968">
        <v>0</v>
      </c>
      <c r="AO226" s="968">
        <v>0</v>
      </c>
      <c r="AP226" s="968">
        <v>0</v>
      </c>
      <c r="AQ226" s="968">
        <v>0</v>
      </c>
      <c r="AR226" s="968">
        <v>0</v>
      </c>
      <c r="AS226" s="968">
        <v>0</v>
      </c>
      <c r="AT226" s="968">
        <v>0</v>
      </c>
      <c r="AU226" s="968">
        <v>0</v>
      </c>
      <c r="AV226" s="968">
        <v>0</v>
      </c>
      <c r="AW226" s="968">
        <v>0</v>
      </c>
      <c r="AX226" s="968">
        <v>0</v>
      </c>
      <c r="AY226" s="968">
        <v>6367</v>
      </c>
      <c r="AZ226" s="968">
        <v>0</v>
      </c>
      <c r="BA226" s="968">
        <v>205</v>
      </c>
      <c r="BB226" s="968">
        <v>2775</v>
      </c>
      <c r="BC226" s="968">
        <v>2866571</v>
      </c>
      <c r="BD226" s="968">
        <v>0</v>
      </c>
      <c r="BE226" s="968">
        <v>0</v>
      </c>
      <c r="BF226" s="968">
        <v>0</v>
      </c>
      <c r="BG226" s="968">
        <v>0</v>
      </c>
      <c r="BH226" s="968">
        <v>0</v>
      </c>
      <c r="BI226" s="968">
        <v>0</v>
      </c>
      <c r="BJ226" s="968">
        <v>0</v>
      </c>
      <c r="BK226" s="913"/>
      <c r="BL226" s="913"/>
    </row>
    <row r="227" spans="1:64" s="371" customFormat="1" x14ac:dyDescent="0.3">
      <c r="A227" s="949">
        <v>577</v>
      </c>
      <c r="B227" s="1017">
        <v>577</v>
      </c>
      <c r="C227" s="990">
        <v>577</v>
      </c>
      <c r="D227" s="990" t="s">
        <v>383</v>
      </c>
      <c r="E227" s="990"/>
      <c r="F227" s="965">
        <v>0</v>
      </c>
      <c r="G227" s="966">
        <v>0</v>
      </c>
      <c r="H227" s="966">
        <v>0</v>
      </c>
      <c r="I227" s="966">
        <v>0</v>
      </c>
      <c r="J227" s="966">
        <v>0</v>
      </c>
      <c r="K227" s="966">
        <v>0</v>
      </c>
      <c r="L227" s="967">
        <v>0</v>
      </c>
      <c r="M227" s="968">
        <v>0</v>
      </c>
      <c r="N227" s="968">
        <v>0</v>
      </c>
      <c r="O227" s="969">
        <v>0</v>
      </c>
      <c r="P227" s="969">
        <v>0</v>
      </c>
      <c r="Q227" s="969">
        <v>0</v>
      </c>
      <c r="R227" s="969">
        <v>0</v>
      </c>
      <c r="S227" s="969">
        <v>0</v>
      </c>
      <c r="T227" s="969">
        <v>1</v>
      </c>
      <c r="U227" s="969">
        <v>0</v>
      </c>
      <c r="V227" s="969">
        <v>0</v>
      </c>
      <c r="W227" s="969">
        <v>0</v>
      </c>
      <c r="X227" s="969">
        <v>0</v>
      </c>
      <c r="Y227" s="969">
        <v>0</v>
      </c>
      <c r="Z227" s="969">
        <v>0</v>
      </c>
      <c r="AA227" s="969">
        <v>0</v>
      </c>
      <c r="AB227" s="969">
        <v>0</v>
      </c>
      <c r="AC227" s="969">
        <v>0</v>
      </c>
      <c r="AD227" s="968">
        <v>0</v>
      </c>
      <c r="AE227" s="968">
        <v>0</v>
      </c>
      <c r="AF227" s="968">
        <v>0</v>
      </c>
      <c r="AG227" s="968">
        <v>0</v>
      </c>
      <c r="AH227" s="968">
        <v>0</v>
      </c>
      <c r="AI227" s="968">
        <v>0</v>
      </c>
      <c r="AJ227" s="968">
        <v>0</v>
      </c>
      <c r="AK227" s="968">
        <v>0</v>
      </c>
      <c r="AL227" s="968">
        <v>0</v>
      </c>
      <c r="AM227" s="968">
        <v>0</v>
      </c>
      <c r="AN227" s="968">
        <v>0</v>
      </c>
      <c r="AO227" s="968">
        <v>0</v>
      </c>
      <c r="AP227" s="968">
        <v>0</v>
      </c>
      <c r="AQ227" s="968">
        <v>0</v>
      </c>
      <c r="AR227" s="968">
        <v>0</v>
      </c>
      <c r="AS227" s="968">
        <v>0</v>
      </c>
      <c r="AT227" s="968">
        <v>0</v>
      </c>
      <c r="AU227" s="968">
        <v>0</v>
      </c>
      <c r="AV227" s="968">
        <v>0</v>
      </c>
      <c r="AW227" s="968">
        <v>0</v>
      </c>
      <c r="AX227" s="968">
        <v>0</v>
      </c>
      <c r="AY227" s="968">
        <v>0</v>
      </c>
      <c r="AZ227" s="968">
        <v>0</v>
      </c>
      <c r="BA227" s="968">
        <v>0</v>
      </c>
      <c r="BB227" s="968">
        <v>0</v>
      </c>
      <c r="BC227" s="968">
        <v>0</v>
      </c>
      <c r="BD227" s="968">
        <v>0</v>
      </c>
      <c r="BE227" s="968">
        <v>0</v>
      </c>
      <c r="BF227" s="968">
        <v>0</v>
      </c>
      <c r="BG227" s="968">
        <v>0</v>
      </c>
      <c r="BH227" s="968">
        <v>0</v>
      </c>
      <c r="BI227" s="968">
        <v>0</v>
      </c>
      <c r="BJ227" s="968">
        <v>0</v>
      </c>
      <c r="BK227" s="913"/>
      <c r="BL227" s="913"/>
    </row>
    <row r="228" spans="1:64" s="371" customFormat="1" x14ac:dyDescent="0.3">
      <c r="A228" s="949">
        <v>578</v>
      </c>
      <c r="B228" s="1017"/>
      <c r="C228" s="990">
        <v>578</v>
      </c>
      <c r="D228" s="990" t="s">
        <v>384</v>
      </c>
      <c r="E228" s="990"/>
      <c r="F228" s="999"/>
      <c r="G228" s="1000"/>
      <c r="H228" s="1000"/>
      <c r="I228" s="1000"/>
      <c r="J228" s="1000"/>
      <c r="K228" s="1000"/>
      <c r="L228" s="1001"/>
      <c r="M228" s="991"/>
      <c r="N228" s="991"/>
      <c r="O228" s="1002"/>
      <c r="P228" s="1002"/>
      <c r="Q228" s="1002"/>
      <c r="R228" s="1002"/>
      <c r="S228" s="1002"/>
      <c r="T228" s="1002"/>
      <c r="U228" s="1002"/>
      <c r="V228" s="1002"/>
      <c r="W228" s="1002"/>
      <c r="X228" s="1002"/>
      <c r="Y228" s="1002"/>
      <c r="Z228" s="1002"/>
      <c r="AA228" s="1002"/>
      <c r="AB228" s="1002"/>
      <c r="AC228" s="1002"/>
      <c r="AD228" s="991"/>
      <c r="AE228" s="991"/>
      <c r="AF228" s="991"/>
      <c r="AG228" s="991"/>
      <c r="AH228" s="991"/>
      <c r="AI228" s="991"/>
      <c r="AJ228" s="991"/>
      <c r="AK228" s="991"/>
      <c r="AL228" s="991"/>
      <c r="AM228" s="991"/>
      <c r="AN228" s="991"/>
      <c r="AO228" s="991"/>
      <c r="AP228" s="991"/>
      <c r="AQ228" s="991"/>
      <c r="AR228" s="991"/>
      <c r="AS228" s="991"/>
      <c r="AT228" s="991"/>
      <c r="AU228" s="991"/>
      <c r="AV228" s="991"/>
      <c r="AW228" s="991"/>
      <c r="AX228" s="991"/>
      <c r="AY228" s="991"/>
      <c r="AZ228" s="991"/>
      <c r="BA228" s="991"/>
      <c r="BB228" s="991"/>
      <c r="BC228" s="991"/>
      <c r="BD228" s="991"/>
      <c r="BE228" s="991"/>
      <c r="BF228" s="991"/>
      <c r="BG228" s="991"/>
      <c r="BH228" s="991"/>
      <c r="BI228" s="991"/>
      <c r="BJ228" s="991"/>
      <c r="BK228" s="913"/>
      <c r="BL228" s="913"/>
    </row>
    <row r="229" spans="1:64" s="371" customFormat="1" x14ac:dyDescent="0.3">
      <c r="A229" s="949">
        <v>579</v>
      </c>
      <c r="B229" s="1017"/>
      <c r="C229" s="990">
        <v>579</v>
      </c>
      <c r="D229" s="990" t="s">
        <v>385</v>
      </c>
      <c r="E229" s="990"/>
      <c r="F229" s="999"/>
      <c r="G229" s="1000"/>
      <c r="H229" s="1000"/>
      <c r="I229" s="1000"/>
      <c r="J229" s="1000"/>
      <c r="K229" s="1000"/>
      <c r="L229" s="1001"/>
      <c r="M229" s="991"/>
      <c r="N229" s="991"/>
      <c r="O229" s="1002"/>
      <c r="P229" s="1002"/>
      <c r="Q229" s="1002"/>
      <c r="R229" s="1002"/>
      <c r="S229" s="1002"/>
      <c r="T229" s="1002"/>
      <c r="U229" s="1002"/>
      <c r="V229" s="1002"/>
      <c r="W229" s="1002"/>
      <c r="X229" s="1002"/>
      <c r="Y229" s="1002"/>
      <c r="Z229" s="1002"/>
      <c r="AA229" s="1002"/>
      <c r="AB229" s="1002"/>
      <c r="AC229" s="1002"/>
      <c r="AD229" s="991"/>
      <c r="AE229" s="991"/>
      <c r="AF229" s="991"/>
      <c r="AG229" s="991"/>
      <c r="AH229" s="991"/>
      <c r="AI229" s="991"/>
      <c r="AJ229" s="991"/>
      <c r="AK229" s="991"/>
      <c r="AL229" s="991"/>
      <c r="AM229" s="991"/>
      <c r="AN229" s="991"/>
      <c r="AO229" s="991"/>
      <c r="AP229" s="991"/>
      <c r="AQ229" s="991"/>
      <c r="AR229" s="991"/>
      <c r="AS229" s="991"/>
      <c r="AT229" s="991"/>
      <c r="AU229" s="991"/>
      <c r="AV229" s="991"/>
      <c r="AW229" s="991"/>
      <c r="AX229" s="991"/>
      <c r="AY229" s="991"/>
      <c r="AZ229" s="991"/>
      <c r="BA229" s="991"/>
      <c r="BB229" s="991"/>
      <c r="BC229" s="991"/>
      <c r="BD229" s="991"/>
      <c r="BE229" s="991"/>
      <c r="BF229" s="991"/>
      <c r="BG229" s="991"/>
      <c r="BH229" s="991"/>
      <c r="BI229" s="991"/>
      <c r="BJ229" s="991"/>
      <c r="BK229" s="913"/>
      <c r="BL229" s="913"/>
    </row>
    <row r="230" spans="1:64" s="371" customFormat="1" x14ac:dyDescent="0.3">
      <c r="A230" s="949">
        <v>580</v>
      </c>
      <c r="B230" s="1017"/>
      <c r="C230" s="990">
        <v>580</v>
      </c>
      <c r="D230" s="990" t="s">
        <v>386</v>
      </c>
      <c r="E230" s="990"/>
      <c r="F230" s="999"/>
      <c r="G230" s="1000"/>
      <c r="H230" s="1000"/>
      <c r="I230" s="1000"/>
      <c r="J230" s="1000"/>
      <c r="K230" s="1000"/>
      <c r="L230" s="1001"/>
      <c r="M230" s="991"/>
      <c r="N230" s="991"/>
      <c r="O230" s="1002"/>
      <c r="P230" s="1002"/>
      <c r="Q230" s="1002"/>
      <c r="R230" s="1002"/>
      <c r="S230" s="1002"/>
      <c r="T230" s="1002"/>
      <c r="U230" s="1002"/>
      <c r="V230" s="1002"/>
      <c r="W230" s="1002"/>
      <c r="X230" s="1002"/>
      <c r="Y230" s="1002"/>
      <c r="Z230" s="1002"/>
      <c r="AA230" s="1002"/>
      <c r="AB230" s="1002"/>
      <c r="AC230" s="1002"/>
      <c r="AD230" s="991"/>
      <c r="AE230" s="991"/>
      <c r="AF230" s="991"/>
      <c r="AG230" s="991"/>
      <c r="AH230" s="991"/>
      <c r="AI230" s="991"/>
      <c r="AJ230" s="991"/>
      <c r="AK230" s="991"/>
      <c r="AL230" s="991"/>
      <c r="AM230" s="991"/>
      <c r="AN230" s="991"/>
      <c r="AO230" s="991"/>
      <c r="AP230" s="991"/>
      <c r="AQ230" s="991"/>
      <c r="AR230" s="991"/>
      <c r="AS230" s="991"/>
      <c r="AT230" s="991"/>
      <c r="AU230" s="991"/>
      <c r="AV230" s="991"/>
      <c r="AW230" s="991"/>
      <c r="AX230" s="991"/>
      <c r="AY230" s="991"/>
      <c r="AZ230" s="991"/>
      <c r="BA230" s="991"/>
      <c r="BB230" s="991"/>
      <c r="BC230" s="991"/>
      <c r="BD230" s="991"/>
      <c r="BE230" s="991"/>
      <c r="BF230" s="991"/>
      <c r="BG230" s="991"/>
      <c r="BH230" s="991"/>
      <c r="BI230" s="991"/>
      <c r="BJ230" s="991"/>
      <c r="BK230" s="913"/>
      <c r="BL230" s="913"/>
    </row>
    <row r="231" spans="1:64" s="371" customFormat="1" x14ac:dyDescent="0.3">
      <c r="A231" s="949">
        <v>581</v>
      </c>
      <c r="B231" s="1017"/>
      <c r="C231" s="990">
        <v>581</v>
      </c>
      <c r="D231" s="990" t="s">
        <v>387</v>
      </c>
      <c r="E231" s="990"/>
      <c r="F231" s="999"/>
      <c r="G231" s="1000"/>
      <c r="H231" s="1000"/>
      <c r="I231" s="1000"/>
      <c r="J231" s="1000"/>
      <c r="K231" s="1000"/>
      <c r="L231" s="1001"/>
      <c r="M231" s="991"/>
      <c r="N231" s="991"/>
      <c r="O231" s="1002"/>
      <c r="P231" s="1002"/>
      <c r="Q231" s="1002"/>
      <c r="R231" s="1002"/>
      <c r="S231" s="1002"/>
      <c r="T231" s="1002"/>
      <c r="U231" s="1002"/>
      <c r="V231" s="1002"/>
      <c r="W231" s="1002"/>
      <c r="X231" s="1002"/>
      <c r="Y231" s="1002"/>
      <c r="Z231" s="1002"/>
      <c r="AA231" s="1002"/>
      <c r="AB231" s="1002"/>
      <c r="AC231" s="1002"/>
      <c r="AD231" s="991"/>
      <c r="AE231" s="991"/>
      <c r="AF231" s="991"/>
      <c r="AG231" s="991"/>
      <c r="AH231" s="991"/>
      <c r="AI231" s="991"/>
      <c r="AJ231" s="991"/>
      <c r="AK231" s="991"/>
      <c r="AL231" s="991"/>
      <c r="AM231" s="991"/>
      <c r="AN231" s="991"/>
      <c r="AO231" s="991"/>
      <c r="AP231" s="991"/>
      <c r="AQ231" s="991"/>
      <c r="AR231" s="991"/>
      <c r="AS231" s="991"/>
      <c r="AT231" s="991"/>
      <c r="AU231" s="991"/>
      <c r="AV231" s="991"/>
      <c r="AW231" s="991"/>
      <c r="AX231" s="991"/>
      <c r="AY231" s="991"/>
      <c r="AZ231" s="991"/>
      <c r="BA231" s="991"/>
      <c r="BB231" s="991"/>
      <c r="BC231" s="991"/>
      <c r="BD231" s="991"/>
      <c r="BE231" s="991"/>
      <c r="BF231" s="991"/>
      <c r="BG231" s="991"/>
      <c r="BH231" s="991"/>
      <c r="BI231" s="991"/>
      <c r="BJ231" s="991"/>
      <c r="BK231" s="913"/>
      <c r="BL231" s="913"/>
    </row>
    <row r="232" spans="1:64" s="371" customFormat="1" x14ac:dyDescent="0.3">
      <c r="A232" s="949">
        <v>582</v>
      </c>
      <c r="B232" s="1017"/>
      <c r="C232" s="990">
        <v>582</v>
      </c>
      <c r="D232" s="990" t="s">
        <v>388</v>
      </c>
      <c r="E232" s="990"/>
      <c r="F232" s="999"/>
      <c r="G232" s="1000"/>
      <c r="H232" s="1000"/>
      <c r="I232" s="1000"/>
      <c r="J232" s="1000"/>
      <c r="K232" s="1000"/>
      <c r="L232" s="1001"/>
      <c r="M232" s="991"/>
      <c r="N232" s="991"/>
      <c r="O232" s="1002"/>
      <c r="P232" s="1002"/>
      <c r="Q232" s="1002"/>
      <c r="R232" s="1002"/>
      <c r="S232" s="1002"/>
      <c r="T232" s="1002"/>
      <c r="U232" s="1002"/>
      <c r="V232" s="1002"/>
      <c r="W232" s="1002"/>
      <c r="X232" s="1002"/>
      <c r="Y232" s="1002"/>
      <c r="Z232" s="1002"/>
      <c r="AA232" s="1002"/>
      <c r="AB232" s="1002"/>
      <c r="AC232" s="1002"/>
      <c r="AD232" s="991"/>
      <c r="AE232" s="991"/>
      <c r="AF232" s="991"/>
      <c r="AG232" s="991"/>
      <c r="AH232" s="991"/>
      <c r="AI232" s="991"/>
      <c r="AJ232" s="991"/>
      <c r="AK232" s="991"/>
      <c r="AL232" s="991"/>
      <c r="AM232" s="991"/>
      <c r="AN232" s="991"/>
      <c r="AO232" s="991"/>
      <c r="AP232" s="991"/>
      <c r="AQ232" s="991"/>
      <c r="AR232" s="991"/>
      <c r="AS232" s="991"/>
      <c r="AT232" s="991"/>
      <c r="AU232" s="991"/>
      <c r="AV232" s="991"/>
      <c r="AW232" s="991"/>
      <c r="AX232" s="991"/>
      <c r="AY232" s="991"/>
      <c r="AZ232" s="991"/>
      <c r="BA232" s="991"/>
      <c r="BB232" s="991"/>
      <c r="BC232" s="991"/>
      <c r="BD232" s="991"/>
      <c r="BE232" s="991"/>
      <c r="BF232" s="991"/>
      <c r="BG232" s="991"/>
      <c r="BH232" s="991"/>
      <c r="BI232" s="991"/>
      <c r="BJ232" s="991"/>
      <c r="BK232" s="913"/>
      <c r="BL232" s="913"/>
    </row>
    <row r="233" spans="1:64" s="371" customFormat="1" x14ac:dyDescent="0.3">
      <c r="A233" s="949">
        <v>583</v>
      </c>
      <c r="B233" s="1017"/>
      <c r="C233" s="990">
        <v>583</v>
      </c>
      <c r="D233" s="990" t="s">
        <v>389</v>
      </c>
      <c r="E233" s="990"/>
      <c r="F233" s="999"/>
      <c r="G233" s="1000"/>
      <c r="H233" s="1000"/>
      <c r="I233" s="1000"/>
      <c r="J233" s="1000"/>
      <c r="K233" s="1000"/>
      <c r="L233" s="1001"/>
      <c r="M233" s="991"/>
      <c r="N233" s="991"/>
      <c r="O233" s="1002"/>
      <c r="P233" s="1002"/>
      <c r="Q233" s="1002"/>
      <c r="R233" s="1002"/>
      <c r="S233" s="1002"/>
      <c r="T233" s="1002"/>
      <c r="U233" s="1002"/>
      <c r="V233" s="1002"/>
      <c r="W233" s="1002"/>
      <c r="X233" s="1002"/>
      <c r="Y233" s="1002"/>
      <c r="Z233" s="1002"/>
      <c r="AA233" s="1002"/>
      <c r="AB233" s="1002"/>
      <c r="AC233" s="1002"/>
      <c r="AD233" s="991"/>
      <c r="AE233" s="991"/>
      <c r="AF233" s="991"/>
      <c r="AG233" s="991"/>
      <c r="AH233" s="991"/>
      <c r="AI233" s="991"/>
      <c r="AJ233" s="991"/>
      <c r="AK233" s="991"/>
      <c r="AL233" s="991"/>
      <c r="AM233" s="991"/>
      <c r="AN233" s="991"/>
      <c r="AO233" s="991"/>
      <c r="AP233" s="991"/>
      <c r="AQ233" s="991"/>
      <c r="AR233" s="991"/>
      <c r="AS233" s="991"/>
      <c r="AT233" s="991"/>
      <c r="AU233" s="991"/>
      <c r="AV233" s="991"/>
      <c r="AW233" s="991"/>
      <c r="AX233" s="991"/>
      <c r="AY233" s="991"/>
      <c r="AZ233" s="991"/>
      <c r="BA233" s="991"/>
      <c r="BB233" s="991"/>
      <c r="BC233" s="991"/>
      <c r="BD233" s="991"/>
      <c r="BE233" s="991"/>
      <c r="BF233" s="991"/>
      <c r="BG233" s="991"/>
      <c r="BH233" s="991"/>
      <c r="BI233" s="991"/>
      <c r="BJ233" s="991"/>
      <c r="BK233" s="913"/>
      <c r="BL233" s="913"/>
    </row>
    <row r="234" spans="1:64" s="371" customFormat="1" x14ac:dyDescent="0.3">
      <c r="A234" s="949">
        <v>584</v>
      </c>
      <c r="B234" s="1017"/>
      <c r="C234" s="990">
        <v>584</v>
      </c>
      <c r="D234" s="990" t="s">
        <v>390</v>
      </c>
      <c r="E234" s="990"/>
      <c r="F234" s="999"/>
      <c r="G234" s="1000"/>
      <c r="H234" s="1000"/>
      <c r="I234" s="1000"/>
      <c r="J234" s="1000"/>
      <c r="K234" s="1000"/>
      <c r="L234" s="1001"/>
      <c r="M234" s="991"/>
      <c r="N234" s="991"/>
      <c r="O234" s="1002"/>
      <c r="P234" s="1002"/>
      <c r="Q234" s="1002"/>
      <c r="R234" s="1002"/>
      <c r="S234" s="1002"/>
      <c r="T234" s="1002"/>
      <c r="U234" s="1002"/>
      <c r="V234" s="1002"/>
      <c r="W234" s="1002"/>
      <c r="X234" s="1002"/>
      <c r="Y234" s="1002"/>
      <c r="Z234" s="1002"/>
      <c r="AA234" s="1002"/>
      <c r="AB234" s="1002"/>
      <c r="AC234" s="1002"/>
      <c r="AD234" s="991"/>
      <c r="AE234" s="991"/>
      <c r="AF234" s="991"/>
      <c r="AG234" s="991"/>
      <c r="AH234" s="991"/>
      <c r="AI234" s="991"/>
      <c r="AJ234" s="991"/>
      <c r="AK234" s="991"/>
      <c r="AL234" s="991"/>
      <c r="AM234" s="991"/>
      <c r="AN234" s="991"/>
      <c r="AO234" s="991"/>
      <c r="AP234" s="991"/>
      <c r="AQ234" s="991"/>
      <c r="AR234" s="991"/>
      <c r="AS234" s="991"/>
      <c r="AT234" s="991"/>
      <c r="AU234" s="991"/>
      <c r="AV234" s="991"/>
      <c r="AW234" s="991"/>
      <c r="AX234" s="991"/>
      <c r="AY234" s="991"/>
      <c r="AZ234" s="991"/>
      <c r="BA234" s="991"/>
      <c r="BB234" s="991"/>
      <c r="BC234" s="991"/>
      <c r="BD234" s="991"/>
      <c r="BE234" s="991"/>
      <c r="BF234" s="991"/>
      <c r="BG234" s="991"/>
      <c r="BH234" s="991"/>
      <c r="BI234" s="991"/>
      <c r="BJ234" s="991"/>
      <c r="BK234" s="913"/>
      <c r="BL234" s="913"/>
    </row>
    <row r="235" spans="1:64" s="371" customFormat="1" x14ac:dyDescent="0.3">
      <c r="A235" s="949">
        <v>585</v>
      </c>
      <c r="B235" s="1017"/>
      <c r="C235" s="990">
        <v>585</v>
      </c>
      <c r="D235" s="990" t="s">
        <v>391</v>
      </c>
      <c r="E235" s="990"/>
      <c r="F235" s="999"/>
      <c r="G235" s="1000"/>
      <c r="H235" s="1000"/>
      <c r="I235" s="1000"/>
      <c r="J235" s="1000"/>
      <c r="K235" s="1000"/>
      <c r="L235" s="1001"/>
      <c r="M235" s="991"/>
      <c r="N235" s="991"/>
      <c r="O235" s="1002"/>
      <c r="P235" s="1002"/>
      <c r="Q235" s="1002"/>
      <c r="R235" s="1002"/>
      <c r="S235" s="1002"/>
      <c r="T235" s="1002"/>
      <c r="U235" s="1002"/>
      <c r="V235" s="1002"/>
      <c r="W235" s="1002"/>
      <c r="X235" s="1002"/>
      <c r="Y235" s="1002"/>
      <c r="Z235" s="1002"/>
      <c r="AA235" s="1002"/>
      <c r="AB235" s="1002"/>
      <c r="AC235" s="1002"/>
      <c r="AD235" s="991"/>
      <c r="AE235" s="991"/>
      <c r="AF235" s="991"/>
      <c r="AG235" s="991"/>
      <c r="AH235" s="991"/>
      <c r="AI235" s="991"/>
      <c r="AJ235" s="991"/>
      <c r="AK235" s="991"/>
      <c r="AL235" s="991"/>
      <c r="AM235" s="991"/>
      <c r="AN235" s="991"/>
      <c r="AO235" s="991"/>
      <c r="AP235" s="991"/>
      <c r="AQ235" s="991"/>
      <c r="AR235" s="991"/>
      <c r="AS235" s="991"/>
      <c r="AT235" s="991"/>
      <c r="AU235" s="991"/>
      <c r="AV235" s="991"/>
      <c r="AW235" s="991"/>
      <c r="AX235" s="991"/>
      <c r="AY235" s="991"/>
      <c r="AZ235" s="991"/>
      <c r="BA235" s="991"/>
      <c r="BB235" s="991"/>
      <c r="BC235" s="991"/>
      <c r="BD235" s="991"/>
      <c r="BE235" s="991"/>
      <c r="BF235" s="991"/>
      <c r="BG235" s="991"/>
      <c r="BH235" s="991"/>
      <c r="BI235" s="991"/>
      <c r="BJ235" s="991"/>
      <c r="BK235" s="913"/>
      <c r="BL235" s="913"/>
    </row>
    <row r="236" spans="1:64" s="371" customFormat="1" x14ac:dyDescent="0.3">
      <c r="A236" s="949">
        <v>586</v>
      </c>
      <c r="B236" s="1017">
        <v>586</v>
      </c>
      <c r="C236" s="990">
        <v>586</v>
      </c>
      <c r="D236" s="990" t="s">
        <v>392</v>
      </c>
      <c r="E236" s="990"/>
      <c r="F236" s="965">
        <v>0</v>
      </c>
      <c r="G236" s="966">
        <v>0</v>
      </c>
      <c r="H236" s="966">
        <v>0</v>
      </c>
      <c r="I236" s="966">
        <v>0</v>
      </c>
      <c r="J236" s="966">
        <v>0</v>
      </c>
      <c r="K236" s="966">
        <v>0</v>
      </c>
      <c r="L236" s="967">
        <v>0</v>
      </c>
      <c r="M236" s="968">
        <v>0</v>
      </c>
      <c r="N236" s="968">
        <v>0</v>
      </c>
      <c r="O236" s="969">
        <v>0</v>
      </c>
      <c r="P236" s="969">
        <v>0</v>
      </c>
      <c r="Q236" s="969">
        <v>0</v>
      </c>
      <c r="R236" s="969">
        <v>0</v>
      </c>
      <c r="S236" s="969">
        <v>0</v>
      </c>
      <c r="T236" s="969">
        <v>0</v>
      </c>
      <c r="U236" s="969">
        <v>0</v>
      </c>
      <c r="V236" s="969">
        <v>0</v>
      </c>
      <c r="W236" s="969">
        <v>0</v>
      </c>
      <c r="X236" s="969">
        <v>0</v>
      </c>
      <c r="Y236" s="969">
        <v>0</v>
      </c>
      <c r="Z236" s="969">
        <v>0</v>
      </c>
      <c r="AA236" s="969">
        <v>0</v>
      </c>
      <c r="AB236" s="969">
        <v>0</v>
      </c>
      <c r="AC236" s="969">
        <v>0</v>
      </c>
      <c r="AD236" s="968">
        <v>0</v>
      </c>
      <c r="AE236" s="968">
        <v>0</v>
      </c>
      <c r="AF236" s="968">
        <v>0</v>
      </c>
      <c r="AG236" s="968">
        <v>0</v>
      </c>
      <c r="AH236" s="968">
        <v>0</v>
      </c>
      <c r="AI236" s="968">
        <v>0</v>
      </c>
      <c r="AJ236" s="968">
        <v>0</v>
      </c>
      <c r="AK236" s="968">
        <v>0</v>
      </c>
      <c r="AL236" s="968">
        <v>0</v>
      </c>
      <c r="AM236" s="968">
        <v>0</v>
      </c>
      <c r="AN236" s="968">
        <v>0</v>
      </c>
      <c r="AO236" s="968">
        <v>0</v>
      </c>
      <c r="AP236" s="968">
        <v>0</v>
      </c>
      <c r="AQ236" s="968">
        <v>0</v>
      </c>
      <c r="AR236" s="968">
        <v>0</v>
      </c>
      <c r="AS236" s="968">
        <v>0</v>
      </c>
      <c r="AT236" s="968">
        <v>0</v>
      </c>
      <c r="AU236" s="968">
        <v>0</v>
      </c>
      <c r="AV236" s="968">
        <v>0</v>
      </c>
      <c r="AW236" s="968">
        <v>0</v>
      </c>
      <c r="AX236" s="968">
        <v>0</v>
      </c>
      <c r="AY236" s="968">
        <v>0</v>
      </c>
      <c r="AZ236" s="968">
        <v>0</v>
      </c>
      <c r="BA236" s="968">
        <v>0</v>
      </c>
      <c r="BB236" s="968">
        <v>0</v>
      </c>
      <c r="BC236" s="968">
        <v>0</v>
      </c>
      <c r="BD236" s="968">
        <v>0</v>
      </c>
      <c r="BE236" s="968">
        <v>0</v>
      </c>
      <c r="BF236" s="968">
        <v>0</v>
      </c>
      <c r="BG236" s="968">
        <v>0</v>
      </c>
      <c r="BH236" s="968">
        <v>0</v>
      </c>
      <c r="BI236" s="968">
        <v>0</v>
      </c>
      <c r="BJ236" s="968">
        <v>0</v>
      </c>
      <c r="BK236" s="913"/>
      <c r="BL236" s="913"/>
    </row>
    <row r="237" spans="1:64" s="371" customFormat="1" x14ac:dyDescent="0.3">
      <c r="A237" s="949">
        <v>587</v>
      </c>
      <c r="B237" s="1017">
        <v>587</v>
      </c>
      <c r="C237" s="990">
        <v>587</v>
      </c>
      <c r="D237" s="990" t="s">
        <v>393</v>
      </c>
      <c r="E237" s="990"/>
      <c r="F237" s="965">
        <v>0</v>
      </c>
      <c r="G237" s="966">
        <v>0</v>
      </c>
      <c r="H237" s="966">
        <v>0</v>
      </c>
      <c r="I237" s="966">
        <v>0</v>
      </c>
      <c r="J237" s="966">
        <v>0</v>
      </c>
      <c r="K237" s="966">
        <v>0</v>
      </c>
      <c r="L237" s="967">
        <v>0</v>
      </c>
      <c r="M237" s="968">
        <v>0</v>
      </c>
      <c r="N237" s="968">
        <v>0</v>
      </c>
      <c r="O237" s="969">
        <v>0</v>
      </c>
      <c r="P237" s="969">
        <v>0</v>
      </c>
      <c r="Q237" s="969">
        <v>0</v>
      </c>
      <c r="R237" s="969">
        <v>0</v>
      </c>
      <c r="S237" s="969">
        <v>0</v>
      </c>
      <c r="T237" s="969">
        <v>0</v>
      </c>
      <c r="U237" s="969">
        <v>0</v>
      </c>
      <c r="V237" s="969">
        <v>0</v>
      </c>
      <c r="W237" s="969">
        <v>0</v>
      </c>
      <c r="X237" s="969">
        <v>0</v>
      </c>
      <c r="Y237" s="969">
        <v>0</v>
      </c>
      <c r="Z237" s="969">
        <v>0</v>
      </c>
      <c r="AA237" s="969">
        <v>0</v>
      </c>
      <c r="AB237" s="969">
        <v>0</v>
      </c>
      <c r="AC237" s="969">
        <v>0</v>
      </c>
      <c r="AD237" s="968">
        <v>0</v>
      </c>
      <c r="AE237" s="968">
        <v>0</v>
      </c>
      <c r="AF237" s="968">
        <v>0</v>
      </c>
      <c r="AG237" s="968">
        <v>0</v>
      </c>
      <c r="AH237" s="968">
        <v>0</v>
      </c>
      <c r="AI237" s="968">
        <v>0</v>
      </c>
      <c r="AJ237" s="968">
        <v>0</v>
      </c>
      <c r="AK237" s="968">
        <v>0</v>
      </c>
      <c r="AL237" s="968">
        <v>0</v>
      </c>
      <c r="AM237" s="968">
        <v>0</v>
      </c>
      <c r="AN237" s="968">
        <v>0</v>
      </c>
      <c r="AO237" s="968">
        <v>0</v>
      </c>
      <c r="AP237" s="968">
        <v>0</v>
      </c>
      <c r="AQ237" s="968">
        <v>0</v>
      </c>
      <c r="AR237" s="968">
        <v>0</v>
      </c>
      <c r="AS237" s="968">
        <v>0</v>
      </c>
      <c r="AT237" s="968">
        <v>0</v>
      </c>
      <c r="AU237" s="968">
        <v>0</v>
      </c>
      <c r="AV237" s="968">
        <v>0</v>
      </c>
      <c r="AW237" s="968">
        <v>0</v>
      </c>
      <c r="AX237" s="968">
        <v>0</v>
      </c>
      <c r="AY237" s="968">
        <v>0</v>
      </c>
      <c r="AZ237" s="968">
        <v>0</v>
      </c>
      <c r="BA237" s="968">
        <v>0</v>
      </c>
      <c r="BB237" s="968">
        <v>0</v>
      </c>
      <c r="BC237" s="968">
        <v>0</v>
      </c>
      <c r="BD237" s="968">
        <v>0</v>
      </c>
      <c r="BE237" s="968">
        <v>0</v>
      </c>
      <c r="BF237" s="968">
        <v>0</v>
      </c>
      <c r="BG237" s="968">
        <v>0</v>
      </c>
      <c r="BH237" s="968">
        <v>0</v>
      </c>
      <c r="BI237" s="968">
        <v>0</v>
      </c>
      <c r="BJ237" s="968">
        <v>0</v>
      </c>
      <c r="BK237" s="913"/>
      <c r="BL237" s="913"/>
    </row>
    <row r="238" spans="1:64" s="371" customFormat="1" x14ac:dyDescent="0.3">
      <c r="A238" s="949">
        <v>588</v>
      </c>
      <c r="B238" s="1017">
        <v>588</v>
      </c>
      <c r="C238" s="990">
        <v>588</v>
      </c>
      <c r="D238" s="990" t="s">
        <v>394</v>
      </c>
      <c r="E238" s="990"/>
      <c r="F238" s="965">
        <v>0</v>
      </c>
      <c r="G238" s="966">
        <v>0</v>
      </c>
      <c r="H238" s="966">
        <v>0</v>
      </c>
      <c r="I238" s="966">
        <v>0</v>
      </c>
      <c r="J238" s="966">
        <v>0</v>
      </c>
      <c r="K238" s="966">
        <v>0</v>
      </c>
      <c r="L238" s="967">
        <v>0</v>
      </c>
      <c r="M238" s="968">
        <v>0</v>
      </c>
      <c r="N238" s="968">
        <v>0</v>
      </c>
      <c r="O238" s="969">
        <v>0</v>
      </c>
      <c r="P238" s="969">
        <v>0</v>
      </c>
      <c r="Q238" s="969">
        <v>0</v>
      </c>
      <c r="R238" s="969">
        <v>0</v>
      </c>
      <c r="S238" s="969">
        <v>0</v>
      </c>
      <c r="T238" s="969">
        <v>0</v>
      </c>
      <c r="U238" s="969">
        <v>0</v>
      </c>
      <c r="V238" s="969">
        <v>0</v>
      </c>
      <c r="W238" s="969">
        <v>0</v>
      </c>
      <c r="X238" s="969">
        <v>0</v>
      </c>
      <c r="Y238" s="969">
        <v>0</v>
      </c>
      <c r="Z238" s="969">
        <v>0</v>
      </c>
      <c r="AA238" s="969">
        <v>0</v>
      </c>
      <c r="AB238" s="969">
        <v>0</v>
      </c>
      <c r="AC238" s="969">
        <v>0</v>
      </c>
      <c r="AD238" s="968">
        <v>0</v>
      </c>
      <c r="AE238" s="968">
        <v>0</v>
      </c>
      <c r="AF238" s="968">
        <v>0</v>
      </c>
      <c r="AG238" s="968">
        <v>0</v>
      </c>
      <c r="AH238" s="968">
        <v>0</v>
      </c>
      <c r="AI238" s="968">
        <v>0</v>
      </c>
      <c r="AJ238" s="968">
        <v>0</v>
      </c>
      <c r="AK238" s="968">
        <v>0</v>
      </c>
      <c r="AL238" s="968">
        <v>0</v>
      </c>
      <c r="AM238" s="968">
        <v>0</v>
      </c>
      <c r="AN238" s="968">
        <v>0</v>
      </c>
      <c r="AO238" s="968">
        <v>0</v>
      </c>
      <c r="AP238" s="968">
        <v>0</v>
      </c>
      <c r="AQ238" s="968">
        <v>0</v>
      </c>
      <c r="AR238" s="968">
        <v>0</v>
      </c>
      <c r="AS238" s="968">
        <v>0</v>
      </c>
      <c r="AT238" s="968">
        <v>0</v>
      </c>
      <c r="AU238" s="968">
        <v>0</v>
      </c>
      <c r="AV238" s="968">
        <v>0</v>
      </c>
      <c r="AW238" s="968">
        <v>0</v>
      </c>
      <c r="AX238" s="968">
        <v>0</v>
      </c>
      <c r="AY238" s="968">
        <v>0</v>
      </c>
      <c r="AZ238" s="968">
        <v>0</v>
      </c>
      <c r="BA238" s="968">
        <v>0</v>
      </c>
      <c r="BB238" s="968">
        <v>0</v>
      </c>
      <c r="BC238" s="968">
        <v>0</v>
      </c>
      <c r="BD238" s="968">
        <v>0</v>
      </c>
      <c r="BE238" s="968">
        <v>0</v>
      </c>
      <c r="BF238" s="968">
        <v>0</v>
      </c>
      <c r="BG238" s="968">
        <v>0</v>
      </c>
      <c r="BH238" s="968">
        <v>0</v>
      </c>
      <c r="BI238" s="968">
        <v>0</v>
      </c>
      <c r="BJ238" s="968">
        <v>0</v>
      </c>
      <c r="BK238" s="913"/>
      <c r="BL238" s="913"/>
    </row>
    <row r="239" spans="1:64" s="371" customFormat="1" x14ac:dyDescent="0.3">
      <c r="A239" s="949">
        <v>589</v>
      </c>
      <c r="B239" s="1017"/>
      <c r="C239" s="990">
        <v>589</v>
      </c>
      <c r="D239" s="990" t="s">
        <v>395</v>
      </c>
      <c r="E239" s="990"/>
      <c r="F239" s="999"/>
      <c r="G239" s="1000"/>
      <c r="H239" s="1000"/>
      <c r="I239" s="1000"/>
      <c r="J239" s="1000"/>
      <c r="K239" s="1000"/>
      <c r="L239" s="1001"/>
      <c r="M239" s="991"/>
      <c r="N239" s="991"/>
      <c r="O239" s="1002"/>
      <c r="P239" s="1002"/>
      <c r="Q239" s="1002"/>
      <c r="R239" s="1002"/>
      <c r="S239" s="1002"/>
      <c r="T239" s="1002"/>
      <c r="U239" s="1002"/>
      <c r="V239" s="1002"/>
      <c r="W239" s="1002"/>
      <c r="X239" s="1002"/>
      <c r="Y239" s="1002"/>
      <c r="Z239" s="1002"/>
      <c r="AA239" s="1002"/>
      <c r="AB239" s="1002"/>
      <c r="AC239" s="1002"/>
      <c r="AD239" s="991"/>
      <c r="AE239" s="991"/>
      <c r="AF239" s="991"/>
      <c r="AG239" s="991"/>
      <c r="AH239" s="991"/>
      <c r="AI239" s="991"/>
      <c r="AJ239" s="991"/>
      <c r="AK239" s="991"/>
      <c r="AL239" s="991"/>
      <c r="AM239" s="991"/>
      <c r="AN239" s="991"/>
      <c r="AO239" s="991"/>
      <c r="AP239" s="991"/>
      <c r="AQ239" s="991"/>
      <c r="AR239" s="991"/>
      <c r="AS239" s="991"/>
      <c r="AT239" s="991"/>
      <c r="AU239" s="991"/>
      <c r="AV239" s="991"/>
      <c r="AW239" s="991"/>
      <c r="AX239" s="991"/>
      <c r="AY239" s="991"/>
      <c r="AZ239" s="991"/>
      <c r="BA239" s="991"/>
      <c r="BB239" s="991"/>
      <c r="BC239" s="991"/>
      <c r="BD239" s="991"/>
      <c r="BE239" s="991"/>
      <c r="BF239" s="991"/>
      <c r="BG239" s="991"/>
      <c r="BH239" s="991"/>
      <c r="BI239" s="991"/>
      <c r="BJ239" s="991"/>
      <c r="BK239" s="913"/>
      <c r="BL239" s="913"/>
    </row>
    <row r="240" spans="1:64" s="371" customFormat="1" x14ac:dyDescent="0.3">
      <c r="A240" s="949">
        <v>590</v>
      </c>
      <c r="B240" s="1017"/>
      <c r="C240" s="990">
        <v>590</v>
      </c>
      <c r="D240" s="989" t="s">
        <v>396</v>
      </c>
      <c r="E240" s="989"/>
      <c r="F240" s="999"/>
      <c r="G240" s="1000"/>
      <c r="H240" s="1000"/>
      <c r="I240" s="1000"/>
      <c r="J240" s="1000"/>
      <c r="K240" s="1000"/>
      <c r="L240" s="1001"/>
      <c r="M240" s="991"/>
      <c r="N240" s="991"/>
      <c r="O240" s="1002"/>
      <c r="P240" s="1002"/>
      <c r="Q240" s="1002"/>
      <c r="R240" s="1002"/>
      <c r="S240" s="1002"/>
      <c r="T240" s="1002"/>
      <c r="U240" s="1002"/>
      <c r="V240" s="1002"/>
      <c r="W240" s="1002"/>
      <c r="X240" s="1002"/>
      <c r="Y240" s="1002"/>
      <c r="Z240" s="1002"/>
      <c r="AA240" s="1002"/>
      <c r="AB240" s="1002"/>
      <c r="AC240" s="1002"/>
      <c r="AD240" s="991"/>
      <c r="AE240" s="991"/>
      <c r="AF240" s="991"/>
      <c r="AG240" s="991"/>
      <c r="AH240" s="991"/>
      <c r="AI240" s="991"/>
      <c r="AJ240" s="991"/>
      <c r="AK240" s="991"/>
      <c r="AL240" s="991"/>
      <c r="AM240" s="991"/>
      <c r="AN240" s="991"/>
      <c r="AO240" s="991"/>
      <c r="AP240" s="991"/>
      <c r="AQ240" s="991"/>
      <c r="AR240" s="991"/>
      <c r="AS240" s="991"/>
      <c r="AT240" s="991"/>
      <c r="AU240" s="991"/>
      <c r="AV240" s="991"/>
      <c r="AW240" s="991"/>
      <c r="AX240" s="991"/>
      <c r="AY240" s="991"/>
      <c r="AZ240" s="991"/>
      <c r="BA240" s="991"/>
      <c r="BB240" s="991"/>
      <c r="BC240" s="991"/>
      <c r="BD240" s="991"/>
      <c r="BE240" s="991"/>
      <c r="BF240" s="991"/>
      <c r="BG240" s="991"/>
      <c r="BH240" s="991"/>
      <c r="BI240" s="991"/>
      <c r="BJ240" s="991"/>
      <c r="BK240" s="913"/>
      <c r="BL240" s="913"/>
    </row>
    <row r="241" spans="1:64" s="371" customFormat="1" x14ac:dyDescent="0.3">
      <c r="A241" s="949">
        <v>992</v>
      </c>
      <c r="B241" s="1017"/>
      <c r="C241" s="948">
        <v>992</v>
      </c>
      <c r="D241" s="998"/>
      <c r="E241" s="998"/>
      <c r="F241" s="999"/>
      <c r="G241" s="1000"/>
      <c r="H241" s="1000"/>
      <c r="I241" s="1000"/>
      <c r="J241" s="1000"/>
      <c r="K241" s="1000"/>
      <c r="L241" s="1001"/>
      <c r="M241" s="991"/>
      <c r="N241" s="991"/>
      <c r="O241" s="1002"/>
      <c r="P241" s="1002"/>
      <c r="Q241" s="1002"/>
      <c r="R241" s="1002"/>
      <c r="S241" s="1002"/>
      <c r="T241" s="1002"/>
      <c r="U241" s="1002"/>
      <c r="V241" s="1002"/>
      <c r="W241" s="1002"/>
      <c r="X241" s="1002"/>
      <c r="Y241" s="1002"/>
      <c r="Z241" s="1002"/>
      <c r="AA241" s="1002"/>
      <c r="AB241" s="1002"/>
      <c r="AC241" s="1002"/>
      <c r="AD241" s="991"/>
      <c r="AE241" s="991"/>
      <c r="AF241" s="991"/>
      <c r="AG241" s="991"/>
      <c r="AH241" s="991"/>
      <c r="AI241" s="991"/>
      <c r="AJ241" s="991"/>
      <c r="AK241" s="991"/>
      <c r="AL241" s="991"/>
      <c r="AM241" s="991"/>
      <c r="AN241" s="991"/>
      <c r="AO241" s="991"/>
      <c r="AP241" s="991"/>
      <c r="AQ241" s="991"/>
      <c r="AR241" s="991"/>
      <c r="AS241" s="991"/>
      <c r="AT241" s="991"/>
      <c r="AU241" s="991"/>
      <c r="AV241" s="991"/>
      <c r="AW241" s="991"/>
      <c r="AX241" s="991"/>
      <c r="AY241" s="991"/>
      <c r="AZ241" s="991"/>
      <c r="BA241" s="991"/>
      <c r="BB241" s="991"/>
      <c r="BC241" s="991"/>
      <c r="BD241" s="991"/>
      <c r="BE241" s="991"/>
      <c r="BF241" s="991"/>
      <c r="BG241" s="991"/>
      <c r="BH241" s="991"/>
      <c r="BI241" s="991"/>
      <c r="BJ241" s="991"/>
      <c r="BK241" s="915"/>
      <c r="BL241" s="915"/>
    </row>
    <row r="242" spans="1:64" s="374" customFormat="1" ht="28.8" x14ac:dyDescent="0.3">
      <c r="A242" s="949">
        <v>993</v>
      </c>
      <c r="B242" s="1017"/>
      <c r="C242" s="948">
        <v>993</v>
      </c>
      <c r="D242" s="955" t="s">
        <v>1065</v>
      </c>
      <c r="E242" s="955"/>
      <c r="F242" s="999"/>
      <c r="G242" s="1000"/>
      <c r="H242" s="1000"/>
      <c r="I242" s="1000"/>
      <c r="J242" s="1000"/>
      <c r="K242" s="1000"/>
      <c r="L242" s="1001"/>
      <c r="M242" s="991"/>
      <c r="N242" s="991"/>
      <c r="O242" s="1002"/>
      <c r="P242" s="1002"/>
      <c r="Q242" s="1002"/>
      <c r="R242" s="1002"/>
      <c r="S242" s="1002"/>
      <c r="T242" s="1002"/>
      <c r="U242" s="1002"/>
      <c r="V242" s="1002"/>
      <c r="W242" s="1002"/>
      <c r="X242" s="1002"/>
      <c r="Y242" s="1002"/>
      <c r="Z242" s="1002"/>
      <c r="AA242" s="1002"/>
      <c r="AB242" s="1002"/>
      <c r="AC242" s="1002"/>
      <c r="AD242" s="991"/>
      <c r="AE242" s="991"/>
      <c r="AF242" s="991"/>
      <c r="AG242" s="991"/>
      <c r="AH242" s="991"/>
      <c r="AI242" s="991"/>
      <c r="AJ242" s="991"/>
      <c r="AK242" s="991"/>
      <c r="AL242" s="991"/>
      <c r="AM242" s="991"/>
      <c r="AN242" s="991"/>
      <c r="AO242" s="991"/>
      <c r="AP242" s="991"/>
      <c r="AQ242" s="991"/>
      <c r="AR242" s="991"/>
      <c r="AS242" s="991"/>
      <c r="AT242" s="991"/>
      <c r="AU242" s="991"/>
      <c r="AV242" s="991"/>
      <c r="AW242" s="991"/>
      <c r="AX242" s="991"/>
      <c r="AY242" s="991"/>
      <c r="AZ242" s="991"/>
      <c r="BA242" s="991"/>
      <c r="BB242" s="991"/>
      <c r="BC242" s="991"/>
      <c r="BD242" s="991"/>
      <c r="BE242" s="991"/>
      <c r="BF242" s="991"/>
      <c r="BG242" s="991"/>
      <c r="BH242" s="991"/>
      <c r="BI242" s="991"/>
      <c r="BJ242" s="991"/>
      <c r="BK242" s="915"/>
      <c r="BL242" s="915"/>
    </row>
    <row r="243" spans="1:64" s="374" customFormat="1" ht="28.8" x14ac:dyDescent="0.3">
      <c r="A243" s="949">
        <v>994</v>
      </c>
      <c r="B243" s="1017"/>
      <c r="C243" s="948">
        <v>994</v>
      </c>
      <c r="D243" s="955" t="s">
        <v>1066</v>
      </c>
      <c r="E243" s="955"/>
      <c r="F243" s="999"/>
      <c r="G243" s="1000"/>
      <c r="H243" s="1000"/>
      <c r="I243" s="1000"/>
      <c r="J243" s="1000"/>
      <c r="K243" s="1000"/>
      <c r="L243" s="1001"/>
      <c r="M243" s="991"/>
      <c r="N243" s="991"/>
      <c r="O243" s="1002"/>
      <c r="P243" s="1002"/>
      <c r="Q243" s="1002"/>
      <c r="R243" s="1002"/>
      <c r="S243" s="1002"/>
      <c r="T243" s="1002"/>
      <c r="U243" s="1002"/>
      <c r="V243" s="1002"/>
      <c r="W243" s="1002"/>
      <c r="X243" s="1002"/>
      <c r="Y243" s="1002"/>
      <c r="Z243" s="1002"/>
      <c r="AA243" s="1002"/>
      <c r="AB243" s="1002"/>
      <c r="AC243" s="1002"/>
      <c r="AD243" s="991"/>
      <c r="AE243" s="991"/>
      <c r="AF243" s="991"/>
      <c r="AG243" s="991"/>
      <c r="AH243" s="991"/>
      <c r="AI243" s="991"/>
      <c r="AJ243" s="991"/>
      <c r="AK243" s="991"/>
      <c r="AL243" s="991"/>
      <c r="AM243" s="991"/>
      <c r="AN243" s="991"/>
      <c r="AO243" s="991"/>
      <c r="AP243" s="991"/>
      <c r="AQ243" s="991"/>
      <c r="AR243" s="991"/>
      <c r="AS243" s="991"/>
      <c r="AT243" s="991"/>
      <c r="AU243" s="991"/>
      <c r="AV243" s="991"/>
      <c r="AW243" s="991"/>
      <c r="AX243" s="991"/>
      <c r="AY243" s="991"/>
      <c r="AZ243" s="991"/>
      <c r="BA243" s="991"/>
      <c r="BB243" s="991"/>
      <c r="BC243" s="991"/>
      <c r="BD243" s="991"/>
      <c r="BE243" s="991"/>
      <c r="BF243" s="991"/>
      <c r="BG243" s="991"/>
      <c r="BH243" s="991"/>
      <c r="BI243" s="991"/>
      <c r="BJ243" s="991"/>
      <c r="BK243" s="915"/>
      <c r="BL243" s="915"/>
    </row>
    <row r="244" spans="1:64" s="374" customFormat="1" ht="28.8" x14ac:dyDescent="0.3">
      <c r="A244" s="949">
        <v>995</v>
      </c>
      <c r="B244" s="1017"/>
      <c r="C244" s="948">
        <v>995</v>
      </c>
      <c r="D244" s="956" t="s">
        <v>285</v>
      </c>
      <c r="E244" s="956"/>
      <c r="F244" s="999"/>
      <c r="G244" s="1000"/>
      <c r="H244" s="1000"/>
      <c r="I244" s="1000"/>
      <c r="J244" s="1000"/>
      <c r="K244" s="1000"/>
      <c r="L244" s="1001"/>
      <c r="M244" s="991"/>
      <c r="N244" s="991"/>
      <c r="O244" s="1002"/>
      <c r="P244" s="1002"/>
      <c r="Q244" s="1002"/>
      <c r="R244" s="1002"/>
      <c r="S244" s="1002"/>
      <c r="T244" s="1002"/>
      <c r="U244" s="1002"/>
      <c r="V244" s="1002"/>
      <c r="W244" s="1002"/>
      <c r="X244" s="1002"/>
      <c r="Y244" s="1002"/>
      <c r="Z244" s="1002"/>
      <c r="AA244" s="1002"/>
      <c r="AB244" s="1002"/>
      <c r="AC244" s="1002"/>
      <c r="AD244" s="991"/>
      <c r="AE244" s="991"/>
      <c r="AF244" s="991"/>
      <c r="AG244" s="991"/>
      <c r="AH244" s="991"/>
      <c r="AI244" s="991"/>
      <c r="AJ244" s="991"/>
      <c r="AK244" s="991"/>
      <c r="AL244" s="991"/>
      <c r="AM244" s="991"/>
      <c r="AN244" s="991"/>
      <c r="AO244" s="991"/>
      <c r="AP244" s="991"/>
      <c r="AQ244" s="991"/>
      <c r="AR244" s="991"/>
      <c r="AS244" s="991"/>
      <c r="AT244" s="991"/>
      <c r="AU244" s="991"/>
      <c r="AV244" s="991"/>
      <c r="AW244" s="991"/>
      <c r="AX244" s="991"/>
      <c r="AY244" s="991"/>
      <c r="AZ244" s="991"/>
      <c r="BA244" s="991"/>
      <c r="BB244" s="991"/>
      <c r="BC244" s="991"/>
      <c r="BD244" s="991"/>
      <c r="BE244" s="991"/>
      <c r="BF244" s="991"/>
      <c r="BG244" s="991"/>
      <c r="BH244" s="991"/>
      <c r="BI244" s="991"/>
      <c r="BJ244" s="991"/>
      <c r="BK244" s="915"/>
      <c r="BL244" s="915"/>
    </row>
    <row r="245" spans="1:64" s="374" customFormat="1" ht="28.8" x14ac:dyDescent="0.3">
      <c r="A245" s="949">
        <v>996</v>
      </c>
      <c r="B245" s="1017"/>
      <c r="C245" s="948">
        <v>996</v>
      </c>
      <c r="D245" s="998" t="s">
        <v>312</v>
      </c>
      <c r="E245" s="998"/>
      <c r="F245" s="999"/>
      <c r="G245" s="999"/>
      <c r="H245" s="999"/>
      <c r="I245" s="999"/>
      <c r="J245" s="999"/>
      <c r="K245" s="999"/>
      <c r="L245" s="999"/>
      <c r="M245" s="999"/>
      <c r="N245" s="999"/>
      <c r="O245" s="999"/>
      <c r="P245" s="999"/>
      <c r="Q245" s="999"/>
      <c r="R245" s="999"/>
      <c r="S245" s="999"/>
      <c r="T245" s="999"/>
      <c r="U245" s="999"/>
      <c r="V245" s="999"/>
      <c r="W245" s="999"/>
      <c r="X245" s="999"/>
      <c r="Y245" s="999"/>
      <c r="Z245" s="999"/>
      <c r="AA245" s="999"/>
      <c r="AB245" s="999"/>
      <c r="AC245" s="999"/>
      <c r="AD245" s="999"/>
      <c r="AE245" s="999"/>
      <c r="AF245" s="999"/>
      <c r="AG245" s="999"/>
      <c r="AH245" s="999"/>
      <c r="AI245" s="999"/>
      <c r="AJ245" s="999"/>
      <c r="AK245" s="999"/>
      <c r="AL245" s="999"/>
      <c r="AM245" s="999"/>
      <c r="AN245" s="999"/>
      <c r="AO245" s="999"/>
      <c r="AP245" s="999"/>
      <c r="AQ245" s="999"/>
      <c r="AR245" s="999"/>
      <c r="AS245" s="999"/>
      <c r="AT245" s="999"/>
      <c r="AU245" s="999"/>
      <c r="AV245" s="999"/>
      <c r="AW245" s="999"/>
      <c r="AX245" s="999"/>
      <c r="AY245" s="999"/>
      <c r="AZ245" s="999"/>
      <c r="BA245" s="999"/>
      <c r="BB245" s="999"/>
      <c r="BC245" s="999"/>
      <c r="BD245" s="999"/>
      <c r="BE245" s="999"/>
      <c r="BF245" s="999"/>
      <c r="BG245" s="999"/>
      <c r="BH245" s="999"/>
      <c r="BI245" s="999"/>
      <c r="BJ245" s="999"/>
      <c r="BK245" s="914"/>
      <c r="BL245" s="914"/>
    </row>
    <row r="246" spans="1:64" s="371" customFormat="1" x14ac:dyDescent="0.3">
      <c r="A246" s="949">
        <v>997</v>
      </c>
      <c r="B246" s="1017"/>
      <c r="C246" s="988">
        <v>997</v>
      </c>
      <c r="D246" s="964"/>
      <c r="E246" s="964"/>
      <c r="F246" s="958"/>
      <c r="G246" s="959"/>
      <c r="H246" s="959"/>
      <c r="I246" s="959"/>
      <c r="J246" s="959"/>
      <c r="K246" s="959"/>
      <c r="L246" s="960"/>
      <c r="M246" s="961"/>
      <c r="N246" s="961"/>
      <c r="O246" s="962"/>
      <c r="P246" s="962"/>
      <c r="Q246" s="962"/>
      <c r="R246" s="962"/>
      <c r="S246" s="962"/>
      <c r="T246" s="962"/>
      <c r="U246" s="962"/>
      <c r="V246" s="962"/>
      <c r="W246" s="962"/>
      <c r="X246" s="962"/>
      <c r="Y246" s="962"/>
      <c r="Z246" s="962"/>
      <c r="AA246" s="962"/>
      <c r="AB246" s="962"/>
      <c r="AC246" s="962"/>
      <c r="AD246" s="961"/>
      <c r="AE246" s="961"/>
      <c r="AF246" s="961"/>
      <c r="AG246" s="961"/>
      <c r="AH246" s="961"/>
      <c r="AI246" s="961"/>
      <c r="AJ246" s="961"/>
      <c r="AK246" s="961"/>
      <c r="AL246" s="961"/>
      <c r="AM246" s="961"/>
      <c r="AN246" s="961"/>
      <c r="AO246" s="961"/>
      <c r="AP246" s="961"/>
      <c r="AQ246" s="961"/>
      <c r="AR246" s="961"/>
      <c r="AS246" s="961"/>
      <c r="AT246" s="961"/>
      <c r="AU246" s="961"/>
      <c r="AV246" s="961"/>
      <c r="AW246" s="961"/>
      <c r="AX246" s="961"/>
      <c r="AY246" s="961"/>
      <c r="AZ246" s="961"/>
      <c r="BA246" s="961"/>
      <c r="BB246" s="961"/>
      <c r="BC246" s="961"/>
      <c r="BD246" s="961"/>
      <c r="BE246" s="961"/>
      <c r="BF246" s="961"/>
      <c r="BG246" s="961"/>
      <c r="BH246" s="961"/>
      <c r="BI246" s="961"/>
      <c r="BJ246" s="961"/>
      <c r="BK246" s="915"/>
      <c r="BL246" s="915"/>
    </row>
    <row r="247" spans="1:64" s="371" customFormat="1" x14ac:dyDescent="0.3">
      <c r="A247" s="980">
        <v>998</v>
      </c>
      <c r="B247" s="1017">
        <v>998</v>
      </c>
      <c r="C247" s="978">
        <v>998</v>
      </c>
      <c r="D247" s="979" t="s">
        <v>287</v>
      </c>
      <c r="E247" s="979"/>
      <c r="F247" s="973">
        <v>52</v>
      </c>
      <c r="G247" s="974">
        <v>52</v>
      </c>
      <c r="H247" s="974">
        <v>52</v>
      </c>
      <c r="I247" s="974">
        <v>52</v>
      </c>
      <c r="J247" s="974">
        <v>52</v>
      </c>
      <c r="K247" s="974">
        <v>52</v>
      </c>
      <c r="L247" s="975">
        <v>52</v>
      </c>
      <c r="M247" s="976">
        <v>52</v>
      </c>
      <c r="N247" s="976">
        <v>52</v>
      </c>
      <c r="O247" s="977">
        <v>52</v>
      </c>
      <c r="P247" s="977">
        <v>52</v>
      </c>
      <c r="Q247" s="977">
        <v>52</v>
      </c>
      <c r="R247" s="977">
        <v>52</v>
      </c>
      <c r="S247" s="977">
        <v>52</v>
      </c>
      <c r="T247" s="977">
        <v>52</v>
      </c>
      <c r="U247" s="977">
        <v>52</v>
      </c>
      <c r="V247" s="977">
        <v>52</v>
      </c>
      <c r="W247" s="977">
        <v>52</v>
      </c>
      <c r="X247" s="977">
        <v>52</v>
      </c>
      <c r="Y247" s="977">
        <v>52</v>
      </c>
      <c r="Z247" s="977">
        <v>52</v>
      </c>
      <c r="AA247" s="977">
        <v>52</v>
      </c>
      <c r="AB247" s="977">
        <v>52</v>
      </c>
      <c r="AC247" s="977">
        <v>52</v>
      </c>
      <c r="AD247" s="976">
        <v>52</v>
      </c>
      <c r="AE247" s="976">
        <v>52</v>
      </c>
      <c r="AF247" s="976">
        <v>52</v>
      </c>
      <c r="AG247" s="976">
        <v>52</v>
      </c>
      <c r="AH247" s="976">
        <v>52</v>
      </c>
      <c r="AI247" s="976">
        <v>52</v>
      </c>
      <c r="AJ247" s="976">
        <v>52</v>
      </c>
      <c r="AK247" s="976">
        <v>52</v>
      </c>
      <c r="AL247" s="976">
        <v>52</v>
      </c>
      <c r="AM247" s="976">
        <v>52</v>
      </c>
      <c r="AN247" s="976">
        <v>52</v>
      </c>
      <c r="AO247" s="976">
        <v>52</v>
      </c>
      <c r="AP247" s="976">
        <v>52</v>
      </c>
      <c r="AQ247" s="976">
        <v>52</v>
      </c>
      <c r="AR247" s="976">
        <v>52</v>
      </c>
      <c r="AS247" s="976">
        <v>52</v>
      </c>
      <c r="AT247" s="976">
        <v>52</v>
      </c>
      <c r="AU247" s="976">
        <v>52</v>
      </c>
      <c r="AV247" s="976">
        <v>52</v>
      </c>
      <c r="AW247" s="976">
        <v>52</v>
      </c>
      <c r="AX247" s="976">
        <v>52</v>
      </c>
      <c r="AY247" s="976">
        <v>52</v>
      </c>
      <c r="AZ247" s="976">
        <v>52</v>
      </c>
      <c r="BA247" s="976">
        <v>52</v>
      </c>
      <c r="BB247" s="976">
        <v>52</v>
      </c>
      <c r="BC247" s="976">
        <v>52</v>
      </c>
      <c r="BD247" s="976">
        <v>52</v>
      </c>
      <c r="BE247" s="976">
        <v>52</v>
      </c>
      <c r="BF247" s="976">
        <v>52</v>
      </c>
      <c r="BG247" s="976">
        <v>52</v>
      </c>
      <c r="BH247" s="976">
        <v>52</v>
      </c>
      <c r="BI247" s="976">
        <v>52</v>
      </c>
      <c r="BJ247" s="976">
        <v>52</v>
      </c>
      <c r="BK247" s="915"/>
      <c r="BL247" s="915"/>
    </row>
    <row r="248" spans="1:64" s="371" customFormat="1" x14ac:dyDescent="0.3">
      <c r="A248" s="980">
        <v>999</v>
      </c>
      <c r="B248" s="1017">
        <v>999</v>
      </c>
      <c r="C248" s="978">
        <v>999</v>
      </c>
      <c r="D248" s="979" t="s">
        <v>288</v>
      </c>
      <c r="E248" s="979"/>
      <c r="F248" s="973">
        <v>52821</v>
      </c>
      <c r="G248" s="974">
        <v>52823</v>
      </c>
      <c r="H248" s="974">
        <v>52824</v>
      </c>
      <c r="I248" s="974">
        <v>52825</v>
      </c>
      <c r="J248" s="974">
        <v>52826</v>
      </c>
      <c r="K248" s="974">
        <v>52827</v>
      </c>
      <c r="L248" s="975">
        <v>52828</v>
      </c>
      <c r="M248" s="976">
        <v>52829</v>
      </c>
      <c r="N248" s="976">
        <v>52830</v>
      </c>
      <c r="O248" s="977">
        <v>52831</v>
      </c>
      <c r="P248" s="977">
        <v>52832</v>
      </c>
      <c r="Q248" s="977">
        <v>52833</v>
      </c>
      <c r="R248" s="977">
        <v>52834</v>
      </c>
      <c r="S248" s="977">
        <v>52835</v>
      </c>
      <c r="T248" s="977">
        <v>524017</v>
      </c>
      <c r="U248" s="977">
        <v>52994</v>
      </c>
      <c r="V248" s="977">
        <v>52836</v>
      </c>
      <c r="W248" s="977">
        <v>52837</v>
      </c>
      <c r="X248" s="977">
        <v>52838</v>
      </c>
      <c r="Y248" s="977">
        <v>52839</v>
      </c>
      <c r="Z248" s="977">
        <v>52840</v>
      </c>
      <c r="AA248" s="977">
        <v>52841</v>
      </c>
      <c r="AB248" s="977">
        <v>52842</v>
      </c>
      <c r="AC248" s="977">
        <v>52843</v>
      </c>
      <c r="AD248" s="976">
        <v>52844</v>
      </c>
      <c r="AE248" s="976">
        <v>52845</v>
      </c>
      <c r="AF248" s="976">
        <v>52846</v>
      </c>
      <c r="AG248" s="976">
        <v>52847</v>
      </c>
      <c r="AH248" s="976">
        <v>52848</v>
      </c>
      <c r="AI248" s="976">
        <v>52849</v>
      </c>
      <c r="AJ248" s="976">
        <v>52850</v>
      </c>
      <c r="AK248" s="976">
        <v>52851</v>
      </c>
      <c r="AL248" s="976">
        <v>52995</v>
      </c>
      <c r="AM248" s="976">
        <v>52852</v>
      </c>
      <c r="AN248" s="976">
        <v>52853</v>
      </c>
      <c r="AO248" s="976">
        <v>52854</v>
      </c>
      <c r="AP248" s="976">
        <v>52856</v>
      </c>
      <c r="AQ248" s="976">
        <v>52857</v>
      </c>
      <c r="AR248" s="976">
        <v>52858</v>
      </c>
      <c r="AS248" s="976">
        <v>52859</v>
      </c>
      <c r="AT248" s="976">
        <v>52860</v>
      </c>
      <c r="AU248" s="976">
        <v>52861</v>
      </c>
      <c r="AV248" s="976">
        <v>52862</v>
      </c>
      <c r="AW248" s="976">
        <v>52863</v>
      </c>
      <c r="AX248" s="976">
        <v>52864</v>
      </c>
      <c r="AY248" s="976">
        <v>52865</v>
      </c>
      <c r="AZ248" s="976">
        <v>52866</v>
      </c>
      <c r="BA248" s="976">
        <v>52867</v>
      </c>
      <c r="BB248" s="976">
        <v>52868</v>
      </c>
      <c r="BC248" s="976">
        <v>52869</v>
      </c>
      <c r="BD248" s="976">
        <v>52870</v>
      </c>
      <c r="BE248" s="976">
        <v>52871</v>
      </c>
      <c r="BF248" s="976">
        <v>52872</v>
      </c>
      <c r="BG248" s="976">
        <v>52873</v>
      </c>
      <c r="BH248" s="976">
        <v>52996</v>
      </c>
      <c r="BI248" s="976">
        <v>52874</v>
      </c>
      <c r="BJ248" s="976">
        <v>52875</v>
      </c>
      <c r="BK248" s="910"/>
      <c r="BL248" s="910"/>
    </row>
    <row r="249" spans="1:64" x14ac:dyDescent="0.3">
      <c r="A249" s="949">
        <v>1000</v>
      </c>
      <c r="B249" s="1017"/>
      <c r="C249" s="949">
        <v>1000</v>
      </c>
      <c r="D249" s="987"/>
      <c r="E249" s="1022"/>
      <c r="F249" s="958"/>
      <c r="G249" s="959"/>
      <c r="H249" s="959"/>
      <c r="I249" s="959"/>
      <c r="J249" s="959"/>
      <c r="K249" s="959"/>
      <c r="L249" s="960"/>
      <c r="M249" s="961"/>
      <c r="N249" s="961"/>
      <c r="O249" s="962"/>
      <c r="P249" s="962"/>
      <c r="Q249" s="962"/>
      <c r="R249" s="962"/>
      <c r="S249" s="962"/>
      <c r="T249" s="962"/>
      <c r="U249" s="962"/>
      <c r="V249" s="962"/>
      <c r="W249" s="962"/>
      <c r="X249" s="962"/>
      <c r="Y249" s="962"/>
      <c r="Z249" s="962"/>
      <c r="AA249" s="962"/>
      <c r="AB249" s="962"/>
      <c r="AC249" s="962"/>
      <c r="AD249" s="961"/>
      <c r="AE249" s="961"/>
      <c r="AF249" s="961"/>
      <c r="AG249" s="961"/>
      <c r="AH249" s="961"/>
      <c r="AI249" s="961"/>
      <c r="AJ249" s="961"/>
      <c r="AK249" s="961"/>
      <c r="AL249" s="961"/>
      <c r="AM249" s="961"/>
      <c r="AN249" s="961"/>
      <c r="AO249" s="961"/>
      <c r="AP249" s="961"/>
      <c r="AQ249" s="961"/>
      <c r="AR249" s="961"/>
      <c r="AS249" s="961"/>
      <c r="AT249" s="961"/>
      <c r="AU249" s="961"/>
      <c r="AV249" s="961"/>
      <c r="AW249" s="961"/>
      <c r="AX249" s="961"/>
      <c r="AY249" s="961"/>
      <c r="AZ249" s="961"/>
      <c r="BA249" s="961"/>
      <c r="BB249" s="961"/>
      <c r="BC249" s="961"/>
      <c r="BD249" s="961"/>
      <c r="BE249" s="961"/>
      <c r="BF249" s="961"/>
      <c r="BG249" s="961"/>
      <c r="BH249" s="961"/>
      <c r="BI249" s="961"/>
      <c r="BJ249" s="961"/>
      <c r="BK249" s="910"/>
      <c r="BL249" s="910"/>
    </row>
    <row r="250" spans="1:64" x14ac:dyDescent="0.3">
      <c r="A250" s="949">
        <v>537</v>
      </c>
      <c r="B250" s="1017"/>
      <c r="C250" s="949">
        <v>537</v>
      </c>
      <c r="D250" s="987"/>
      <c r="E250" s="1022"/>
      <c r="F250" s="958"/>
      <c r="G250" s="959"/>
      <c r="H250" s="959"/>
      <c r="I250" s="959"/>
      <c r="J250" s="959"/>
      <c r="K250" s="959"/>
      <c r="L250" s="960"/>
      <c r="M250" s="961"/>
      <c r="N250" s="961"/>
      <c r="O250" s="962"/>
      <c r="P250" s="962"/>
      <c r="Q250" s="962"/>
      <c r="R250" s="962"/>
      <c r="S250" s="962"/>
      <c r="T250" s="962"/>
      <c r="U250" s="962"/>
      <c r="V250" s="962"/>
      <c r="W250" s="962"/>
      <c r="X250" s="962"/>
      <c r="Y250" s="962"/>
      <c r="Z250" s="962"/>
      <c r="AA250" s="962"/>
      <c r="AB250" s="962"/>
      <c r="AC250" s="962"/>
      <c r="AD250" s="961"/>
      <c r="AE250" s="961"/>
      <c r="AF250" s="961"/>
      <c r="AG250" s="961"/>
      <c r="AH250" s="961"/>
      <c r="AI250" s="961"/>
      <c r="AJ250" s="961"/>
      <c r="AK250" s="961"/>
      <c r="AL250" s="961"/>
      <c r="AM250" s="961"/>
      <c r="AN250" s="961"/>
      <c r="AO250" s="961"/>
      <c r="AP250" s="961"/>
      <c r="AQ250" s="961"/>
      <c r="AR250" s="961"/>
      <c r="AS250" s="961"/>
      <c r="AT250" s="961"/>
      <c r="AU250" s="961"/>
      <c r="AV250" s="961"/>
      <c r="AW250" s="961"/>
      <c r="AX250" s="961"/>
      <c r="AY250" s="961"/>
      <c r="AZ250" s="961"/>
      <c r="BA250" s="961"/>
      <c r="BB250" s="961"/>
      <c r="BC250" s="961"/>
      <c r="BD250" s="961"/>
      <c r="BE250" s="961"/>
      <c r="BF250" s="961"/>
      <c r="BG250" s="961"/>
      <c r="BH250" s="961"/>
      <c r="BI250" s="961"/>
      <c r="BJ250" s="961"/>
      <c r="BK250" s="910"/>
      <c r="BL250" s="910"/>
    </row>
    <row r="251" spans="1:64" x14ac:dyDescent="0.3">
      <c r="A251" s="949">
        <v>538</v>
      </c>
      <c r="B251" s="1017"/>
      <c r="C251" s="949">
        <v>538</v>
      </c>
      <c r="D251" s="987"/>
      <c r="E251" s="1022"/>
      <c r="F251" s="958"/>
      <c r="G251" s="959"/>
      <c r="H251" s="959"/>
      <c r="I251" s="959"/>
      <c r="J251" s="959"/>
      <c r="K251" s="959"/>
      <c r="L251" s="960"/>
      <c r="M251" s="961"/>
      <c r="N251" s="961"/>
      <c r="O251" s="962"/>
      <c r="P251" s="962"/>
      <c r="Q251" s="962"/>
      <c r="R251" s="962"/>
      <c r="S251" s="962"/>
      <c r="T251" s="962"/>
      <c r="U251" s="962"/>
      <c r="V251" s="962"/>
      <c r="W251" s="962"/>
      <c r="X251" s="962"/>
      <c r="Y251" s="962"/>
      <c r="Z251" s="962"/>
      <c r="AA251" s="962"/>
      <c r="AB251" s="962"/>
      <c r="AC251" s="962"/>
      <c r="AD251" s="961"/>
      <c r="AE251" s="961"/>
      <c r="AF251" s="961"/>
      <c r="AG251" s="961"/>
      <c r="AH251" s="961"/>
      <c r="AI251" s="961"/>
      <c r="AJ251" s="961"/>
      <c r="AK251" s="961"/>
      <c r="AL251" s="961"/>
      <c r="AM251" s="961"/>
      <c r="AN251" s="961"/>
      <c r="AO251" s="961"/>
      <c r="AP251" s="961"/>
      <c r="AQ251" s="961"/>
      <c r="AR251" s="961"/>
      <c r="AS251" s="961"/>
      <c r="AT251" s="961"/>
      <c r="AU251" s="961"/>
      <c r="AV251" s="961"/>
      <c r="AW251" s="961"/>
      <c r="AX251" s="961"/>
      <c r="AY251" s="961"/>
      <c r="AZ251" s="961"/>
      <c r="BA251" s="961"/>
      <c r="BB251" s="961"/>
      <c r="BC251" s="961"/>
      <c r="BD251" s="961"/>
      <c r="BE251" s="961"/>
      <c r="BF251" s="961"/>
      <c r="BG251" s="961"/>
      <c r="BH251" s="961"/>
      <c r="BI251" s="961"/>
      <c r="BJ251" s="961"/>
      <c r="BK251" s="910"/>
      <c r="BL251" s="910"/>
    </row>
    <row r="252" spans="1:64" s="371" customFormat="1" x14ac:dyDescent="0.3">
      <c r="A252" s="949">
        <v>591</v>
      </c>
      <c r="B252" s="1017">
        <v>591</v>
      </c>
      <c r="C252" s="947"/>
      <c r="D252" s="987" t="s">
        <v>365</v>
      </c>
      <c r="E252" s="1022"/>
      <c r="F252" s="958">
        <v>4058182</v>
      </c>
      <c r="G252" s="959">
        <v>5090727</v>
      </c>
      <c r="H252" s="959">
        <v>6050233</v>
      </c>
      <c r="I252" s="959">
        <v>2722336</v>
      </c>
      <c r="J252" s="959">
        <v>5272151</v>
      </c>
      <c r="K252" s="959">
        <v>3436774</v>
      </c>
      <c r="L252" s="960">
        <v>1656001</v>
      </c>
      <c r="M252" s="961">
        <v>2200754</v>
      </c>
      <c r="N252" s="961">
        <v>3683367</v>
      </c>
      <c r="O252" s="962">
        <v>1113950</v>
      </c>
      <c r="P252" s="962">
        <v>2659969</v>
      </c>
      <c r="Q252" s="962">
        <v>4584807</v>
      </c>
      <c r="R252" s="962">
        <v>3047344</v>
      </c>
      <c r="S252" s="962">
        <v>1359175</v>
      </c>
      <c r="T252" s="962">
        <v>0</v>
      </c>
      <c r="U252" s="962">
        <v>5961376</v>
      </c>
      <c r="V252" s="962">
        <v>12109364</v>
      </c>
      <c r="W252" s="962">
        <v>2536877</v>
      </c>
      <c r="X252" s="962">
        <v>1403246</v>
      </c>
      <c r="Y252" s="962">
        <v>10417792</v>
      </c>
      <c r="Z252" s="962">
        <v>3533264</v>
      </c>
      <c r="AA252" s="962">
        <v>781151</v>
      </c>
      <c r="AB252" s="962">
        <v>5985035</v>
      </c>
      <c r="AC252" s="962">
        <v>952415</v>
      </c>
      <c r="AD252" s="961">
        <v>2496276</v>
      </c>
      <c r="AE252" s="961">
        <v>10832403</v>
      </c>
      <c r="AF252" s="961">
        <v>1530744</v>
      </c>
      <c r="AG252" s="961">
        <v>8139605</v>
      </c>
      <c r="AH252" s="961">
        <v>5995239</v>
      </c>
      <c r="AI252" s="961">
        <v>1572208</v>
      </c>
      <c r="AJ252" s="961">
        <v>18467157</v>
      </c>
      <c r="AK252" s="961">
        <v>6147415</v>
      </c>
      <c r="AL252" s="961">
        <v>13092373</v>
      </c>
      <c r="AM252" s="961">
        <v>4797175</v>
      </c>
      <c r="AN252" s="961">
        <v>6691092</v>
      </c>
      <c r="AO252" s="961">
        <v>4892388</v>
      </c>
      <c r="AP252" s="961">
        <v>4041251</v>
      </c>
      <c r="AQ252" s="961">
        <v>3162995</v>
      </c>
      <c r="AR252" s="961">
        <v>7326109</v>
      </c>
      <c r="AS252" s="961">
        <v>2114290</v>
      </c>
      <c r="AT252" s="961">
        <v>5522883</v>
      </c>
      <c r="AU252" s="961">
        <v>2243356</v>
      </c>
      <c r="AV252" s="961">
        <v>691580</v>
      </c>
      <c r="AW252" s="961">
        <v>18676276</v>
      </c>
      <c r="AX252" s="961">
        <v>3777804</v>
      </c>
      <c r="AY252" s="961">
        <v>60929138</v>
      </c>
      <c r="AZ252" s="961">
        <v>2106066</v>
      </c>
      <c r="BA252" s="961">
        <v>18172155</v>
      </c>
      <c r="BB252" s="961">
        <v>2425610</v>
      </c>
      <c r="BC252" s="961">
        <v>8193819</v>
      </c>
      <c r="BD252" s="961">
        <v>564069</v>
      </c>
      <c r="BE252" s="961">
        <v>1866633</v>
      </c>
      <c r="BF252" s="961">
        <v>6812230</v>
      </c>
      <c r="BG252" s="961">
        <v>6901317</v>
      </c>
      <c r="BH252" s="961">
        <v>24221921</v>
      </c>
      <c r="BI252" s="961">
        <v>5847510</v>
      </c>
      <c r="BJ252" s="961">
        <v>1009294</v>
      </c>
      <c r="BK252" s="915"/>
      <c r="BL252" s="915"/>
    </row>
    <row r="253" spans="1:64" s="371" customFormat="1" ht="28.8" x14ac:dyDescent="0.3">
      <c r="A253" s="949">
        <v>592</v>
      </c>
      <c r="B253" s="1017">
        <v>592</v>
      </c>
      <c r="C253" s="947"/>
      <c r="D253" s="987" t="s">
        <v>366</v>
      </c>
      <c r="E253" s="1022"/>
      <c r="F253" s="958">
        <v>-442400</v>
      </c>
      <c r="G253" s="959">
        <v>-515005</v>
      </c>
      <c r="H253" s="959">
        <v>159286</v>
      </c>
      <c r="I253" s="959">
        <v>-353287</v>
      </c>
      <c r="J253" s="959">
        <v>862550</v>
      </c>
      <c r="K253" s="959">
        <v>442461</v>
      </c>
      <c r="L253" s="960">
        <v>69590</v>
      </c>
      <c r="M253" s="961">
        <v>41366</v>
      </c>
      <c r="N253" s="961">
        <v>11241</v>
      </c>
      <c r="O253" s="962">
        <v>34005</v>
      </c>
      <c r="P253" s="962">
        <v>64364</v>
      </c>
      <c r="Q253" s="962">
        <v>258116</v>
      </c>
      <c r="R253" s="962">
        <v>450941</v>
      </c>
      <c r="S253" s="962">
        <v>124831</v>
      </c>
      <c r="T253" s="962">
        <v>0</v>
      </c>
      <c r="U253" s="962">
        <v>1977873</v>
      </c>
      <c r="V253" s="962">
        <v>242384</v>
      </c>
      <c r="W253" s="962">
        <v>105353</v>
      </c>
      <c r="X253" s="962">
        <v>-615738</v>
      </c>
      <c r="Y253" s="962">
        <v>1701552</v>
      </c>
      <c r="Z253" s="962">
        <v>110575</v>
      </c>
      <c r="AA253" s="962">
        <v>53691</v>
      </c>
      <c r="AB253" s="962">
        <v>657186</v>
      </c>
      <c r="AC253" s="962">
        <v>56843</v>
      </c>
      <c r="AD253" s="961">
        <v>-1551078</v>
      </c>
      <c r="AE253" s="961">
        <v>1515105</v>
      </c>
      <c r="AF253" s="961">
        <v>235847</v>
      </c>
      <c r="AG253" s="961">
        <v>-717748</v>
      </c>
      <c r="AH253" s="961">
        <v>-243501</v>
      </c>
      <c r="AI253" s="961">
        <v>26736</v>
      </c>
      <c r="AJ253" s="961">
        <v>222555</v>
      </c>
      <c r="AK253" s="961">
        <v>39241</v>
      </c>
      <c r="AL253" s="961">
        <v>577019</v>
      </c>
      <c r="AM253" s="961">
        <v>719903</v>
      </c>
      <c r="AN253" s="961">
        <v>-153149</v>
      </c>
      <c r="AO253" s="961">
        <v>23396</v>
      </c>
      <c r="AP253" s="961">
        <v>569475</v>
      </c>
      <c r="AQ253" s="961">
        <v>443345</v>
      </c>
      <c r="AR253" s="961">
        <v>-634926</v>
      </c>
      <c r="AS253" s="961">
        <v>375988</v>
      </c>
      <c r="AT253" s="961">
        <v>3150576</v>
      </c>
      <c r="AU253" s="961">
        <v>4357</v>
      </c>
      <c r="AV253" s="961">
        <v>43613</v>
      </c>
      <c r="AW253" s="961">
        <v>-1545816</v>
      </c>
      <c r="AX253" s="961">
        <v>434737</v>
      </c>
      <c r="AY253" s="961">
        <v>-5647649</v>
      </c>
      <c r="AZ253" s="961">
        <v>-218743</v>
      </c>
      <c r="BA253" s="961">
        <v>-788204</v>
      </c>
      <c r="BB253" s="961">
        <v>396097</v>
      </c>
      <c r="BC253" s="961">
        <v>166909</v>
      </c>
      <c r="BD253" s="961">
        <v>107569</v>
      </c>
      <c r="BE253" s="961">
        <v>127050</v>
      </c>
      <c r="BF253" s="961">
        <v>96339</v>
      </c>
      <c r="BG253" s="961">
        <v>-602732</v>
      </c>
      <c r="BH253" s="961">
        <v>258683</v>
      </c>
      <c r="BI253" s="961">
        <v>94486</v>
      </c>
      <c r="BJ253" s="961">
        <v>222975</v>
      </c>
      <c r="BK253" s="915"/>
      <c r="BL253" s="915"/>
    </row>
    <row r="254" spans="1:64" s="371" customFormat="1" x14ac:dyDescent="0.3">
      <c r="A254" s="949">
        <v>595</v>
      </c>
      <c r="B254" s="1017"/>
      <c r="C254" s="949">
        <v>595</v>
      </c>
      <c r="D254" s="1022"/>
      <c r="E254" s="1022"/>
      <c r="F254" s="958"/>
      <c r="G254" s="959"/>
      <c r="H254" s="959"/>
      <c r="I254" s="959"/>
      <c r="J254" s="959"/>
      <c r="K254" s="959"/>
      <c r="L254" s="960"/>
      <c r="M254" s="961"/>
      <c r="N254" s="961"/>
      <c r="O254" s="962"/>
      <c r="P254" s="962"/>
      <c r="Q254" s="962"/>
      <c r="R254" s="962"/>
      <c r="S254" s="962"/>
      <c r="T254" s="962"/>
      <c r="U254" s="962"/>
      <c r="V254" s="962"/>
      <c r="W254" s="962"/>
      <c r="X254" s="962"/>
      <c r="Y254" s="962"/>
      <c r="Z254" s="962"/>
      <c r="AA254" s="962"/>
      <c r="AB254" s="962"/>
      <c r="AC254" s="962"/>
      <c r="AD254" s="961"/>
      <c r="AE254" s="961"/>
      <c r="AF254" s="961"/>
      <c r="AG254" s="961"/>
      <c r="AH254" s="961"/>
      <c r="AI254" s="961"/>
      <c r="AJ254" s="961"/>
      <c r="AK254" s="961"/>
      <c r="AL254" s="961"/>
      <c r="AM254" s="961"/>
      <c r="AN254" s="961"/>
      <c r="AO254" s="961"/>
      <c r="AP254" s="961"/>
      <c r="AQ254" s="961"/>
      <c r="AR254" s="961"/>
      <c r="AS254" s="961"/>
      <c r="AT254" s="961"/>
      <c r="AU254" s="961"/>
      <c r="AV254" s="961"/>
      <c r="AW254" s="961"/>
      <c r="AX254" s="961"/>
      <c r="AY254" s="961"/>
      <c r="AZ254" s="961"/>
      <c r="BA254" s="961"/>
      <c r="BB254" s="961"/>
      <c r="BC254" s="961"/>
      <c r="BD254" s="961"/>
      <c r="BE254" s="961"/>
      <c r="BF254" s="961"/>
      <c r="BG254" s="961"/>
      <c r="BH254" s="961"/>
      <c r="BI254" s="961"/>
      <c r="BJ254" s="961"/>
      <c r="BK254" s="915"/>
      <c r="BL254" s="915"/>
    </row>
    <row r="255" spans="1:64" s="371" customFormat="1" x14ac:dyDescent="0.3">
      <c r="A255" s="949">
        <v>596</v>
      </c>
      <c r="B255" s="1017"/>
      <c r="C255" s="1016">
        <v>596</v>
      </c>
      <c r="D255" s="1022"/>
      <c r="E255" s="1022"/>
      <c r="F255" s="958"/>
      <c r="G255" s="959"/>
      <c r="H255" s="959"/>
      <c r="I255" s="959"/>
      <c r="J255" s="959"/>
      <c r="K255" s="959"/>
      <c r="L255" s="960"/>
      <c r="M255" s="961"/>
      <c r="N255" s="961"/>
      <c r="O255" s="962"/>
      <c r="P255" s="962"/>
      <c r="Q255" s="962"/>
      <c r="R255" s="962"/>
      <c r="S255" s="962"/>
      <c r="T255" s="962"/>
      <c r="U255" s="962"/>
      <c r="V255" s="962"/>
      <c r="W255" s="962"/>
      <c r="X255" s="962"/>
      <c r="Y255" s="962"/>
      <c r="Z255" s="962"/>
      <c r="AA255" s="962"/>
      <c r="AB255" s="962"/>
      <c r="AC255" s="962"/>
      <c r="AD255" s="961"/>
      <c r="AE255" s="961"/>
      <c r="AF255" s="961"/>
      <c r="AG255" s="961"/>
      <c r="AH255" s="961"/>
      <c r="AI255" s="961"/>
      <c r="AJ255" s="961"/>
      <c r="AK255" s="961"/>
      <c r="AL255" s="961"/>
      <c r="AM255" s="961"/>
      <c r="AN255" s="961"/>
      <c r="AO255" s="961"/>
      <c r="AP255" s="961"/>
      <c r="AQ255" s="961"/>
      <c r="AR255" s="961"/>
      <c r="AS255" s="961"/>
      <c r="AT255" s="961"/>
      <c r="AU255" s="961"/>
      <c r="AV255" s="961"/>
      <c r="AW255" s="961"/>
      <c r="AX255" s="961"/>
      <c r="AY255" s="961"/>
      <c r="AZ255" s="961"/>
      <c r="BA255" s="961"/>
      <c r="BB255" s="961"/>
      <c r="BC255" s="961"/>
      <c r="BD255" s="961"/>
      <c r="BE255" s="961"/>
      <c r="BF255" s="961"/>
      <c r="BG255" s="961"/>
      <c r="BH255" s="961"/>
      <c r="BI255" s="961"/>
      <c r="BJ255" s="961"/>
      <c r="BK255" s="915"/>
      <c r="BL255" s="915"/>
    </row>
    <row r="256" spans="1:64" s="371" customFormat="1" x14ac:dyDescent="0.3">
      <c r="A256" s="949">
        <v>597</v>
      </c>
      <c r="B256" s="1017"/>
      <c r="C256" s="1016">
        <v>597</v>
      </c>
      <c r="D256" s="1022"/>
      <c r="E256" s="1022"/>
      <c r="F256" s="958"/>
      <c r="G256" s="959"/>
      <c r="H256" s="959"/>
      <c r="I256" s="959"/>
      <c r="J256" s="959"/>
      <c r="K256" s="959"/>
      <c r="L256" s="960"/>
      <c r="M256" s="961"/>
      <c r="N256" s="961"/>
      <c r="O256" s="962"/>
      <c r="P256" s="962"/>
      <c r="Q256" s="962"/>
      <c r="R256" s="962"/>
      <c r="S256" s="962"/>
      <c r="T256" s="962"/>
      <c r="U256" s="962"/>
      <c r="V256" s="962"/>
      <c r="W256" s="962"/>
      <c r="X256" s="962"/>
      <c r="Y256" s="962"/>
      <c r="Z256" s="962"/>
      <c r="AA256" s="962"/>
      <c r="AB256" s="962"/>
      <c r="AC256" s="962"/>
      <c r="AD256" s="961"/>
      <c r="AE256" s="961"/>
      <c r="AF256" s="961"/>
      <c r="AG256" s="961"/>
      <c r="AH256" s="961"/>
      <c r="AI256" s="961"/>
      <c r="AJ256" s="961"/>
      <c r="AK256" s="961"/>
      <c r="AL256" s="961"/>
      <c r="AM256" s="961"/>
      <c r="AN256" s="961"/>
      <c r="AO256" s="961"/>
      <c r="AP256" s="961"/>
      <c r="AQ256" s="961"/>
      <c r="AR256" s="961"/>
      <c r="AS256" s="961"/>
      <c r="AT256" s="961"/>
      <c r="AU256" s="961"/>
      <c r="AV256" s="961"/>
      <c r="AW256" s="961"/>
      <c r="AX256" s="961"/>
      <c r="AY256" s="961"/>
      <c r="AZ256" s="961"/>
      <c r="BA256" s="961"/>
      <c r="BB256" s="961"/>
      <c r="BC256" s="961"/>
      <c r="BD256" s="961"/>
      <c r="BE256" s="961"/>
      <c r="BF256" s="961"/>
      <c r="BG256" s="961"/>
      <c r="BH256" s="961"/>
      <c r="BI256" s="961"/>
      <c r="BJ256" s="961"/>
      <c r="BK256" s="915"/>
      <c r="BL256" s="915"/>
    </row>
    <row r="257" spans="1:64" s="371" customFormat="1" x14ac:dyDescent="0.3">
      <c r="A257" s="947"/>
      <c r="B257" s="1017"/>
      <c r="C257" s="1016"/>
      <c r="D257" s="1022"/>
      <c r="E257" s="1022"/>
      <c r="F257" s="958"/>
      <c r="G257" s="959"/>
      <c r="H257" s="959"/>
      <c r="I257" s="959"/>
      <c r="J257" s="959"/>
      <c r="K257" s="959"/>
      <c r="L257" s="960"/>
      <c r="M257" s="961"/>
      <c r="N257" s="961"/>
      <c r="O257" s="962"/>
      <c r="P257" s="962"/>
      <c r="Q257" s="962"/>
      <c r="R257" s="962"/>
      <c r="S257" s="962"/>
      <c r="T257" s="962"/>
      <c r="U257" s="962"/>
      <c r="V257" s="962"/>
      <c r="W257" s="962"/>
      <c r="X257" s="962"/>
      <c r="Y257" s="962"/>
      <c r="Z257" s="962"/>
      <c r="AA257" s="962"/>
      <c r="AB257" s="962"/>
      <c r="AC257" s="962"/>
      <c r="AD257" s="961"/>
      <c r="AE257" s="961"/>
      <c r="AF257" s="961"/>
      <c r="AG257" s="961"/>
      <c r="AH257" s="961"/>
      <c r="AI257" s="961"/>
      <c r="AJ257" s="961"/>
      <c r="AK257" s="961"/>
      <c r="AL257" s="961"/>
      <c r="AM257" s="961"/>
      <c r="AN257" s="961"/>
      <c r="AO257" s="961"/>
      <c r="AP257" s="961"/>
      <c r="AQ257" s="961"/>
      <c r="AR257" s="961"/>
      <c r="AS257" s="961"/>
      <c r="AT257" s="961"/>
      <c r="AU257" s="961"/>
      <c r="AV257" s="961"/>
      <c r="AW257" s="961"/>
      <c r="AX257" s="961"/>
      <c r="AY257" s="961"/>
      <c r="AZ257" s="961"/>
      <c r="BA257" s="961"/>
      <c r="BB257" s="961"/>
      <c r="BC257" s="961"/>
      <c r="BD257" s="961"/>
      <c r="BE257" s="961"/>
      <c r="BF257" s="961"/>
      <c r="BG257" s="961"/>
      <c r="BH257" s="961"/>
      <c r="BI257" s="961"/>
      <c r="BJ257" s="961"/>
      <c r="BK257" s="915"/>
      <c r="BL257" s="915"/>
    </row>
    <row r="258" spans="1:64" s="371" customFormat="1" x14ac:dyDescent="0.3">
      <c r="A258" s="949">
        <v>598</v>
      </c>
      <c r="B258" s="1017"/>
      <c r="C258" s="1016">
        <v>598</v>
      </c>
      <c r="D258" s="1022"/>
      <c r="E258" s="1022"/>
      <c r="F258" s="958"/>
      <c r="G258" s="959"/>
      <c r="H258" s="959"/>
      <c r="I258" s="959"/>
      <c r="J258" s="959"/>
      <c r="K258" s="959"/>
      <c r="L258" s="960"/>
      <c r="M258" s="961"/>
      <c r="N258" s="961"/>
      <c r="O258" s="962"/>
      <c r="P258" s="962"/>
      <c r="Q258" s="962"/>
      <c r="R258" s="962"/>
      <c r="S258" s="962"/>
      <c r="T258" s="962"/>
      <c r="U258" s="962"/>
      <c r="V258" s="962"/>
      <c r="W258" s="962"/>
      <c r="X258" s="962"/>
      <c r="Y258" s="962"/>
      <c r="Z258" s="962"/>
      <c r="AA258" s="962"/>
      <c r="AB258" s="962"/>
      <c r="AC258" s="962"/>
      <c r="AD258" s="961"/>
      <c r="AE258" s="961"/>
      <c r="AF258" s="961"/>
      <c r="AG258" s="961"/>
      <c r="AH258" s="961"/>
      <c r="AI258" s="961"/>
      <c r="AJ258" s="961"/>
      <c r="AK258" s="961"/>
      <c r="AL258" s="961"/>
      <c r="AM258" s="961"/>
      <c r="AN258" s="961"/>
      <c r="AO258" s="961"/>
      <c r="AP258" s="961"/>
      <c r="AQ258" s="961"/>
      <c r="AR258" s="961"/>
      <c r="AS258" s="961"/>
      <c r="AT258" s="961"/>
      <c r="AU258" s="961"/>
      <c r="AV258" s="961"/>
      <c r="AW258" s="961"/>
      <c r="AX258" s="961"/>
      <c r="AY258" s="961"/>
      <c r="AZ258" s="961"/>
      <c r="BA258" s="961"/>
      <c r="BB258" s="961"/>
      <c r="BC258" s="961"/>
      <c r="BD258" s="961"/>
      <c r="BE258" s="961"/>
      <c r="BF258" s="961"/>
      <c r="BG258" s="961"/>
      <c r="BH258" s="961"/>
      <c r="BI258" s="961"/>
      <c r="BJ258" s="961"/>
      <c r="BK258" s="915"/>
      <c r="BL258" s="915"/>
    </row>
    <row r="259" spans="1:64" s="371" customFormat="1" x14ac:dyDescent="0.3">
      <c r="A259" s="949">
        <v>599</v>
      </c>
      <c r="B259" s="1017"/>
      <c r="C259" s="1016">
        <v>599</v>
      </c>
      <c r="D259" s="1022"/>
      <c r="E259" s="1022"/>
      <c r="F259" s="958"/>
      <c r="G259" s="959"/>
      <c r="H259" s="959"/>
      <c r="I259" s="959"/>
      <c r="J259" s="959"/>
      <c r="K259" s="959"/>
      <c r="L259" s="960"/>
      <c r="M259" s="961"/>
      <c r="N259" s="961"/>
      <c r="O259" s="962"/>
      <c r="P259" s="962"/>
      <c r="Q259" s="962"/>
      <c r="R259" s="962"/>
      <c r="S259" s="962"/>
      <c r="T259" s="962"/>
      <c r="U259" s="962"/>
      <c r="V259" s="962"/>
      <c r="W259" s="962"/>
      <c r="X259" s="962"/>
      <c r="Y259" s="962"/>
      <c r="Z259" s="962"/>
      <c r="AA259" s="962"/>
      <c r="AB259" s="962"/>
      <c r="AC259" s="962"/>
      <c r="AD259" s="961"/>
      <c r="AE259" s="961"/>
      <c r="AF259" s="961"/>
      <c r="AG259" s="961"/>
      <c r="AH259" s="961"/>
      <c r="AI259" s="961"/>
      <c r="AJ259" s="961"/>
      <c r="AK259" s="961"/>
      <c r="AL259" s="961"/>
      <c r="AM259" s="961"/>
      <c r="AN259" s="961"/>
      <c r="AO259" s="961"/>
      <c r="AP259" s="961"/>
      <c r="AQ259" s="961"/>
      <c r="AR259" s="961"/>
      <c r="AS259" s="961"/>
      <c r="AT259" s="961"/>
      <c r="AU259" s="961"/>
      <c r="AV259" s="961"/>
      <c r="AW259" s="961"/>
      <c r="AX259" s="961"/>
      <c r="AY259" s="961"/>
      <c r="AZ259" s="961"/>
      <c r="BA259" s="961"/>
      <c r="BB259" s="961"/>
      <c r="BC259" s="961"/>
      <c r="BD259" s="961"/>
      <c r="BE259" s="961"/>
      <c r="BF259" s="961"/>
      <c r="BG259" s="961"/>
      <c r="BH259" s="961"/>
      <c r="BI259" s="961"/>
      <c r="BJ259" s="961"/>
      <c r="BK259" s="915"/>
      <c r="BL259" s="915"/>
    </row>
    <row r="260" spans="1:64" s="371" customFormat="1" ht="100.8" x14ac:dyDescent="0.3">
      <c r="A260" s="970">
        <v>600</v>
      </c>
      <c r="B260" s="1017"/>
      <c r="C260" s="971">
        <v>600</v>
      </c>
      <c r="D260" s="972" t="s">
        <v>525</v>
      </c>
      <c r="E260" s="972"/>
      <c r="F260" s="973"/>
      <c r="G260" s="974"/>
      <c r="H260" s="974"/>
      <c r="I260" s="974"/>
      <c r="J260" s="974"/>
      <c r="K260" s="974"/>
      <c r="L260" s="975"/>
      <c r="M260" s="976"/>
      <c r="N260" s="976"/>
      <c r="O260" s="977"/>
      <c r="P260" s="977"/>
      <c r="Q260" s="977"/>
      <c r="R260" s="977"/>
      <c r="S260" s="977"/>
      <c r="T260" s="977"/>
      <c r="U260" s="977"/>
      <c r="V260" s="977"/>
      <c r="W260" s="977"/>
      <c r="X260" s="977"/>
      <c r="Y260" s="977"/>
      <c r="Z260" s="977"/>
      <c r="AA260" s="977"/>
      <c r="AB260" s="977"/>
      <c r="AC260" s="977"/>
      <c r="AD260" s="976"/>
      <c r="AE260" s="976"/>
      <c r="AF260" s="976"/>
      <c r="AG260" s="976"/>
      <c r="AH260" s="976"/>
      <c r="AI260" s="976"/>
      <c r="AJ260" s="976"/>
      <c r="AK260" s="976"/>
      <c r="AL260" s="976"/>
      <c r="AM260" s="976"/>
      <c r="AN260" s="976"/>
      <c r="AO260" s="976"/>
      <c r="AP260" s="976"/>
      <c r="AQ260" s="976"/>
      <c r="AR260" s="976"/>
      <c r="AS260" s="976"/>
      <c r="AT260" s="976"/>
      <c r="AU260" s="976"/>
      <c r="AV260" s="976"/>
      <c r="AW260" s="976"/>
      <c r="AX260" s="976"/>
      <c r="AY260" s="976"/>
      <c r="AZ260" s="976"/>
      <c r="BA260" s="976"/>
      <c r="BB260" s="976"/>
      <c r="BC260" s="976"/>
      <c r="BD260" s="976"/>
      <c r="BE260" s="976"/>
      <c r="BF260" s="976"/>
      <c r="BG260" s="976"/>
      <c r="BH260" s="976"/>
      <c r="BI260" s="976"/>
      <c r="BJ260" s="976"/>
      <c r="BK260" s="915"/>
      <c r="BL260" s="915"/>
    </row>
    <row r="261" spans="1:64" s="371" customFormat="1" ht="201.6" x14ac:dyDescent="0.3">
      <c r="A261" s="970">
        <v>601</v>
      </c>
      <c r="B261" s="1017"/>
      <c r="C261" s="971">
        <v>601</v>
      </c>
      <c r="D261" s="972" t="s">
        <v>526</v>
      </c>
      <c r="E261" s="972"/>
      <c r="F261" s="973"/>
      <c r="G261" s="974"/>
      <c r="H261" s="974"/>
      <c r="I261" s="974"/>
      <c r="J261" s="974"/>
      <c r="K261" s="974"/>
      <c r="L261" s="975"/>
      <c r="M261" s="976"/>
      <c r="N261" s="976"/>
      <c r="O261" s="977"/>
      <c r="P261" s="977"/>
      <c r="Q261" s="977"/>
      <c r="R261" s="977"/>
      <c r="S261" s="977"/>
      <c r="T261" s="977"/>
      <c r="U261" s="977"/>
      <c r="V261" s="977"/>
      <c r="W261" s="977"/>
      <c r="X261" s="977"/>
      <c r="Y261" s="977"/>
      <c r="Z261" s="977"/>
      <c r="AA261" s="977"/>
      <c r="AB261" s="977"/>
      <c r="AC261" s="977"/>
      <c r="AD261" s="976"/>
      <c r="AE261" s="976"/>
      <c r="AF261" s="976"/>
      <c r="AG261" s="976"/>
      <c r="AH261" s="976"/>
      <c r="AI261" s="976"/>
      <c r="AJ261" s="976"/>
      <c r="AK261" s="976"/>
      <c r="AL261" s="976"/>
      <c r="AM261" s="976"/>
      <c r="AN261" s="976"/>
      <c r="AO261" s="976"/>
      <c r="AP261" s="976"/>
      <c r="AQ261" s="976"/>
      <c r="AR261" s="976"/>
      <c r="AS261" s="976"/>
      <c r="AT261" s="976"/>
      <c r="AU261" s="976"/>
      <c r="AV261" s="976"/>
      <c r="AW261" s="976"/>
      <c r="AX261" s="976"/>
      <c r="AY261" s="976"/>
      <c r="AZ261" s="976"/>
      <c r="BA261" s="976"/>
      <c r="BB261" s="976"/>
      <c r="BC261" s="976"/>
      <c r="BD261" s="976"/>
      <c r="BE261" s="976"/>
      <c r="BF261" s="976"/>
      <c r="BG261" s="976"/>
      <c r="BH261" s="976"/>
      <c r="BI261" s="976"/>
      <c r="BJ261" s="976"/>
      <c r="BK261" s="915"/>
      <c r="BL261" s="915"/>
    </row>
    <row r="262" spans="1:64" s="371" customFormat="1" x14ac:dyDescent="0.3">
      <c r="A262" s="970">
        <v>602</v>
      </c>
      <c r="B262" s="1017"/>
      <c r="C262" s="971">
        <v>602</v>
      </c>
      <c r="D262" s="972"/>
      <c r="E262" s="972"/>
      <c r="F262" s="973"/>
      <c r="G262" s="974"/>
      <c r="H262" s="974"/>
      <c r="I262" s="974"/>
      <c r="J262" s="974"/>
      <c r="K262" s="974"/>
      <c r="L262" s="975"/>
      <c r="M262" s="976"/>
      <c r="N262" s="976"/>
      <c r="O262" s="977"/>
      <c r="P262" s="977"/>
      <c r="Q262" s="977"/>
      <c r="R262" s="977"/>
      <c r="S262" s="977"/>
      <c r="T262" s="977"/>
      <c r="U262" s="977"/>
      <c r="V262" s="977"/>
      <c r="W262" s="977"/>
      <c r="X262" s="977"/>
      <c r="Y262" s="977"/>
      <c r="Z262" s="977"/>
      <c r="AA262" s="977"/>
      <c r="AB262" s="977"/>
      <c r="AC262" s="977"/>
      <c r="AD262" s="976"/>
      <c r="AE262" s="976"/>
      <c r="AF262" s="976"/>
      <c r="AG262" s="976"/>
      <c r="AH262" s="976"/>
      <c r="AI262" s="976"/>
      <c r="AJ262" s="976"/>
      <c r="AK262" s="976"/>
      <c r="AL262" s="976"/>
      <c r="AM262" s="976"/>
      <c r="AN262" s="976"/>
      <c r="AO262" s="976"/>
      <c r="AP262" s="976"/>
      <c r="AQ262" s="976"/>
      <c r="AR262" s="976"/>
      <c r="AS262" s="976"/>
      <c r="AT262" s="976"/>
      <c r="AU262" s="976"/>
      <c r="AV262" s="976"/>
      <c r="AW262" s="976"/>
      <c r="AX262" s="976"/>
      <c r="AY262" s="976"/>
      <c r="AZ262" s="976"/>
      <c r="BA262" s="976"/>
      <c r="BB262" s="976"/>
      <c r="BC262" s="976"/>
      <c r="BD262" s="976"/>
      <c r="BE262" s="976"/>
      <c r="BF262" s="976"/>
      <c r="BG262" s="976"/>
      <c r="BH262" s="976"/>
      <c r="BI262" s="976"/>
      <c r="BJ262" s="976"/>
      <c r="BK262" s="915"/>
      <c r="BL262" s="915"/>
    </row>
    <row r="263" spans="1:64" s="371" customFormat="1" ht="172.8" x14ac:dyDescent="0.3">
      <c r="A263" s="949">
        <v>603</v>
      </c>
      <c r="B263" s="1017"/>
      <c r="C263" s="1006">
        <v>603</v>
      </c>
      <c r="D263" s="1005" t="s">
        <v>415</v>
      </c>
      <c r="E263" s="1005"/>
      <c r="F263" s="958"/>
      <c r="G263" s="959"/>
      <c r="H263" s="959"/>
      <c r="I263" s="959"/>
      <c r="J263" s="959"/>
      <c r="K263" s="959"/>
      <c r="L263" s="960"/>
      <c r="M263" s="961"/>
      <c r="N263" s="961"/>
      <c r="O263" s="962"/>
      <c r="P263" s="962"/>
      <c r="Q263" s="962"/>
      <c r="R263" s="962"/>
      <c r="S263" s="962"/>
      <c r="T263" s="962"/>
      <c r="U263" s="962"/>
      <c r="V263" s="962"/>
      <c r="W263" s="962"/>
      <c r="X263" s="962"/>
      <c r="Y263" s="962"/>
      <c r="Z263" s="962"/>
      <c r="AA263" s="962"/>
      <c r="AB263" s="962"/>
      <c r="AC263" s="962"/>
      <c r="AD263" s="961"/>
      <c r="AE263" s="961"/>
      <c r="AF263" s="961"/>
      <c r="AG263" s="961"/>
      <c r="AH263" s="961"/>
      <c r="AI263" s="961"/>
      <c r="AJ263" s="961"/>
      <c r="AK263" s="961"/>
      <c r="AL263" s="961"/>
      <c r="AM263" s="961"/>
      <c r="AN263" s="961"/>
      <c r="AO263" s="961"/>
      <c r="AP263" s="961"/>
      <c r="AQ263" s="961"/>
      <c r="AR263" s="961"/>
      <c r="AS263" s="961"/>
      <c r="AT263" s="961"/>
      <c r="AU263" s="961"/>
      <c r="AV263" s="961"/>
      <c r="AW263" s="961"/>
      <c r="AX263" s="961"/>
      <c r="AY263" s="961"/>
      <c r="AZ263" s="961"/>
      <c r="BA263" s="961"/>
      <c r="BB263" s="961"/>
      <c r="BC263" s="961"/>
      <c r="BD263" s="961"/>
      <c r="BE263" s="961"/>
      <c r="BF263" s="961"/>
      <c r="BG263" s="961"/>
      <c r="BH263" s="961"/>
      <c r="BI263" s="961"/>
      <c r="BJ263" s="961"/>
      <c r="BK263" s="915"/>
      <c r="BL263" s="915"/>
    </row>
    <row r="264" spans="1:64" s="371" customFormat="1" ht="115.2" x14ac:dyDescent="0.3">
      <c r="A264" s="949">
        <v>604</v>
      </c>
      <c r="B264" s="1017"/>
      <c r="C264" s="1006">
        <v>604</v>
      </c>
      <c r="D264" s="1005" t="s">
        <v>416</v>
      </c>
      <c r="E264" s="1005"/>
      <c r="F264" s="958">
        <v>0</v>
      </c>
      <c r="G264" s="959">
        <v>0</v>
      </c>
      <c r="H264" s="959">
        <v>0</v>
      </c>
      <c r="I264" s="959">
        <v>0</v>
      </c>
      <c r="J264" s="959">
        <v>0</v>
      </c>
      <c r="K264" s="959">
        <v>0</v>
      </c>
      <c r="L264" s="960">
        <v>0</v>
      </c>
      <c r="M264" s="961">
        <v>0</v>
      </c>
      <c r="N264" s="961">
        <v>0</v>
      </c>
      <c r="O264" s="962">
        <v>0</v>
      </c>
      <c r="P264" s="962">
        <v>0</v>
      </c>
      <c r="Q264" s="962">
        <v>0</v>
      </c>
      <c r="R264" s="962">
        <v>0</v>
      </c>
      <c r="S264" s="962">
        <v>0</v>
      </c>
      <c r="T264" s="962">
        <v>0</v>
      </c>
      <c r="U264" s="962">
        <v>0</v>
      </c>
      <c r="V264" s="962">
        <v>0</v>
      </c>
      <c r="W264" s="962">
        <v>0</v>
      </c>
      <c r="X264" s="962">
        <v>0</v>
      </c>
      <c r="Y264" s="962">
        <v>0</v>
      </c>
      <c r="Z264" s="962">
        <v>0</v>
      </c>
      <c r="AA264" s="962">
        <v>0</v>
      </c>
      <c r="AB264" s="962">
        <v>0</v>
      </c>
      <c r="AC264" s="962">
        <v>0</v>
      </c>
      <c r="AD264" s="961">
        <v>0</v>
      </c>
      <c r="AE264" s="961">
        <v>0</v>
      </c>
      <c r="AF264" s="961">
        <v>0</v>
      </c>
      <c r="AG264" s="961">
        <v>0</v>
      </c>
      <c r="AH264" s="961">
        <v>0</v>
      </c>
      <c r="AI264" s="961">
        <v>0</v>
      </c>
      <c r="AJ264" s="961">
        <v>0</v>
      </c>
      <c r="AK264" s="961">
        <v>0</v>
      </c>
      <c r="AL264" s="961">
        <v>0</v>
      </c>
      <c r="AM264" s="961">
        <v>0</v>
      </c>
      <c r="AN264" s="961">
        <v>0</v>
      </c>
      <c r="AO264" s="961">
        <v>0</v>
      </c>
      <c r="AP264" s="961">
        <v>0</v>
      </c>
      <c r="AQ264" s="961">
        <v>0</v>
      </c>
      <c r="AR264" s="961">
        <v>0</v>
      </c>
      <c r="AS264" s="961">
        <v>0</v>
      </c>
      <c r="AT264" s="961">
        <v>0</v>
      </c>
      <c r="AU264" s="961">
        <v>0</v>
      </c>
      <c r="AV264" s="961">
        <v>0</v>
      </c>
      <c r="AW264" s="961">
        <v>0</v>
      </c>
      <c r="AX264" s="961">
        <v>0</v>
      </c>
      <c r="AY264" s="961">
        <v>0</v>
      </c>
      <c r="AZ264" s="961">
        <v>0</v>
      </c>
      <c r="BA264" s="961">
        <v>0</v>
      </c>
      <c r="BB264" s="961">
        <v>0</v>
      </c>
      <c r="BC264" s="961">
        <v>0</v>
      </c>
      <c r="BD264" s="961">
        <v>0</v>
      </c>
      <c r="BE264" s="961">
        <v>0</v>
      </c>
      <c r="BF264" s="961">
        <v>0</v>
      </c>
      <c r="BG264" s="961">
        <v>0</v>
      </c>
      <c r="BH264" s="961">
        <v>0</v>
      </c>
      <c r="BI264" s="961">
        <v>0</v>
      </c>
      <c r="BJ264" s="961">
        <v>0</v>
      </c>
      <c r="BK264" s="915"/>
      <c r="BL264" s="915"/>
    </row>
    <row r="265" spans="1:64" s="371" customFormat="1" ht="43.2" x14ac:dyDescent="0.3">
      <c r="A265" s="949">
        <v>605</v>
      </c>
      <c r="B265" s="1017"/>
      <c r="C265" s="1006">
        <v>605</v>
      </c>
      <c r="D265" s="1005" t="s">
        <v>418</v>
      </c>
      <c r="E265" s="1005"/>
      <c r="F265" s="958">
        <v>0</v>
      </c>
      <c r="G265" s="959">
        <v>0</v>
      </c>
      <c r="H265" s="959">
        <v>0</v>
      </c>
      <c r="I265" s="959">
        <v>0</v>
      </c>
      <c r="J265" s="959">
        <v>0</v>
      </c>
      <c r="K265" s="959">
        <v>0</v>
      </c>
      <c r="L265" s="960">
        <v>0</v>
      </c>
      <c r="M265" s="961">
        <v>0</v>
      </c>
      <c r="N265" s="961">
        <v>0</v>
      </c>
      <c r="O265" s="962">
        <v>0</v>
      </c>
      <c r="P265" s="962">
        <v>0</v>
      </c>
      <c r="Q265" s="962">
        <v>0</v>
      </c>
      <c r="R265" s="962">
        <v>0</v>
      </c>
      <c r="S265" s="962">
        <v>0</v>
      </c>
      <c r="T265" s="962">
        <v>0</v>
      </c>
      <c r="U265" s="962">
        <v>0</v>
      </c>
      <c r="V265" s="962">
        <v>0</v>
      </c>
      <c r="W265" s="962">
        <v>0</v>
      </c>
      <c r="X265" s="962">
        <v>0</v>
      </c>
      <c r="Y265" s="962">
        <v>0</v>
      </c>
      <c r="Z265" s="962">
        <v>0</v>
      </c>
      <c r="AA265" s="962">
        <v>0</v>
      </c>
      <c r="AB265" s="962">
        <v>0</v>
      </c>
      <c r="AC265" s="962">
        <v>0</v>
      </c>
      <c r="AD265" s="961">
        <v>0</v>
      </c>
      <c r="AE265" s="961">
        <v>0</v>
      </c>
      <c r="AF265" s="961">
        <v>0</v>
      </c>
      <c r="AG265" s="961">
        <v>0</v>
      </c>
      <c r="AH265" s="961">
        <v>0</v>
      </c>
      <c r="AI265" s="961">
        <v>0</v>
      </c>
      <c r="AJ265" s="961">
        <v>0</v>
      </c>
      <c r="AK265" s="961">
        <v>0</v>
      </c>
      <c r="AL265" s="961">
        <v>0</v>
      </c>
      <c r="AM265" s="961">
        <v>0</v>
      </c>
      <c r="AN265" s="961">
        <v>0</v>
      </c>
      <c r="AO265" s="961">
        <v>0</v>
      </c>
      <c r="AP265" s="961">
        <v>0</v>
      </c>
      <c r="AQ265" s="961">
        <v>0</v>
      </c>
      <c r="AR265" s="961">
        <v>0</v>
      </c>
      <c r="AS265" s="961">
        <v>0</v>
      </c>
      <c r="AT265" s="961">
        <v>0</v>
      </c>
      <c r="AU265" s="961">
        <v>0</v>
      </c>
      <c r="AV265" s="961">
        <v>0</v>
      </c>
      <c r="AW265" s="961">
        <v>0</v>
      </c>
      <c r="AX265" s="961">
        <v>0</v>
      </c>
      <c r="AY265" s="961">
        <v>0</v>
      </c>
      <c r="AZ265" s="961">
        <v>0</v>
      </c>
      <c r="BA265" s="961">
        <v>0</v>
      </c>
      <c r="BB265" s="961">
        <v>0</v>
      </c>
      <c r="BC265" s="961">
        <v>0</v>
      </c>
      <c r="BD265" s="961">
        <v>0</v>
      </c>
      <c r="BE265" s="961">
        <v>0</v>
      </c>
      <c r="BF265" s="961">
        <v>0</v>
      </c>
      <c r="BG265" s="961">
        <v>0</v>
      </c>
      <c r="BH265" s="961">
        <v>0</v>
      </c>
      <c r="BI265" s="961">
        <v>0</v>
      </c>
      <c r="BJ265" s="961">
        <v>0</v>
      </c>
      <c r="BK265" s="915"/>
      <c r="BL265" s="915"/>
    </row>
    <row r="266" spans="1:64" s="371" customFormat="1" ht="43.2" x14ac:dyDescent="0.3">
      <c r="A266" s="949">
        <v>606</v>
      </c>
      <c r="B266" s="1017">
        <v>606</v>
      </c>
      <c r="C266" s="1006">
        <v>606</v>
      </c>
      <c r="D266" s="1005" t="s">
        <v>431</v>
      </c>
      <c r="E266" s="1005"/>
      <c r="F266" s="958">
        <v>1</v>
      </c>
      <c r="G266" s="959">
        <v>1</v>
      </c>
      <c r="H266" s="959">
        <v>1</v>
      </c>
      <c r="I266" s="959">
        <v>1</v>
      </c>
      <c r="J266" s="959">
        <v>1</v>
      </c>
      <c r="K266" s="959">
        <v>1</v>
      </c>
      <c r="L266" s="960">
        <v>1</v>
      </c>
      <c r="M266" s="961">
        <v>1</v>
      </c>
      <c r="N266" s="961">
        <v>1</v>
      </c>
      <c r="O266" s="962">
        <v>1</v>
      </c>
      <c r="P266" s="962">
        <v>1</v>
      </c>
      <c r="Q266" s="962">
        <v>1</v>
      </c>
      <c r="R266" s="962">
        <v>1</v>
      </c>
      <c r="S266" s="962">
        <v>1</v>
      </c>
      <c r="T266" s="962">
        <v>1</v>
      </c>
      <c r="U266" s="962">
        <v>1</v>
      </c>
      <c r="V266" s="962">
        <v>1</v>
      </c>
      <c r="W266" s="962">
        <v>1</v>
      </c>
      <c r="X266" s="962">
        <v>1</v>
      </c>
      <c r="Y266" s="962">
        <v>1</v>
      </c>
      <c r="Z266" s="962">
        <v>1</v>
      </c>
      <c r="AA266" s="962">
        <v>1</v>
      </c>
      <c r="AB266" s="962">
        <v>1</v>
      </c>
      <c r="AC266" s="962">
        <v>1</v>
      </c>
      <c r="AD266" s="961">
        <v>0</v>
      </c>
      <c r="AE266" s="961">
        <v>1</v>
      </c>
      <c r="AF266" s="961">
        <v>1</v>
      </c>
      <c r="AG266" s="961">
        <v>1</v>
      </c>
      <c r="AH266" s="961">
        <v>1</v>
      </c>
      <c r="AI266" s="961">
        <v>1</v>
      </c>
      <c r="AJ266" s="961">
        <v>1</v>
      </c>
      <c r="AK266" s="961">
        <v>1</v>
      </c>
      <c r="AL266" s="961">
        <v>1</v>
      </c>
      <c r="AM266" s="961">
        <v>1</v>
      </c>
      <c r="AN266" s="961">
        <v>1</v>
      </c>
      <c r="AO266" s="961">
        <v>1</v>
      </c>
      <c r="AP266" s="961">
        <v>1</v>
      </c>
      <c r="AQ266" s="961">
        <v>1</v>
      </c>
      <c r="AR266" s="961">
        <v>1</v>
      </c>
      <c r="AS266" s="961">
        <v>1</v>
      </c>
      <c r="AT266" s="961">
        <v>1</v>
      </c>
      <c r="AU266" s="961">
        <v>1</v>
      </c>
      <c r="AV266" s="961">
        <v>1</v>
      </c>
      <c r="AW266" s="961">
        <v>0</v>
      </c>
      <c r="AX266" s="961">
        <v>1</v>
      </c>
      <c r="AY266" s="961">
        <v>1</v>
      </c>
      <c r="AZ266" s="961">
        <v>1</v>
      </c>
      <c r="BA266" s="961">
        <v>1</v>
      </c>
      <c r="BB266" s="961">
        <v>1</v>
      </c>
      <c r="BC266" s="961">
        <v>1</v>
      </c>
      <c r="BD266" s="961">
        <v>1</v>
      </c>
      <c r="BE266" s="961">
        <v>1</v>
      </c>
      <c r="BF266" s="961">
        <v>1</v>
      </c>
      <c r="BG266" s="961">
        <v>1</v>
      </c>
      <c r="BH266" s="961">
        <v>1</v>
      </c>
      <c r="BI266" s="961">
        <v>1</v>
      </c>
      <c r="BJ266" s="961">
        <v>1</v>
      </c>
      <c r="BK266" s="915"/>
      <c r="BL266" s="915"/>
    </row>
    <row r="267" spans="1:64" s="371" customFormat="1" x14ac:dyDescent="0.3">
      <c r="A267" s="949">
        <v>607</v>
      </c>
      <c r="B267" s="1017"/>
      <c r="C267" s="1003">
        <v>607</v>
      </c>
      <c r="D267" s="1004" t="s">
        <v>408</v>
      </c>
      <c r="E267" s="1004"/>
      <c r="F267" s="958">
        <v>0</v>
      </c>
      <c r="G267" s="959">
        <v>0</v>
      </c>
      <c r="H267" s="959">
        <v>0</v>
      </c>
      <c r="I267" s="959">
        <v>0</v>
      </c>
      <c r="J267" s="959">
        <v>0</v>
      </c>
      <c r="K267" s="959">
        <v>0</v>
      </c>
      <c r="L267" s="960">
        <v>0</v>
      </c>
      <c r="M267" s="961">
        <v>0</v>
      </c>
      <c r="N267" s="961">
        <v>0</v>
      </c>
      <c r="O267" s="962">
        <v>0</v>
      </c>
      <c r="P267" s="962">
        <v>0</v>
      </c>
      <c r="Q267" s="962">
        <v>0</v>
      </c>
      <c r="R267" s="962">
        <v>0</v>
      </c>
      <c r="S267" s="962">
        <v>0</v>
      </c>
      <c r="T267" s="962">
        <v>0</v>
      </c>
      <c r="U267" s="962">
        <v>0</v>
      </c>
      <c r="V267" s="962">
        <v>0</v>
      </c>
      <c r="W267" s="962">
        <v>0</v>
      </c>
      <c r="X267" s="962">
        <v>0</v>
      </c>
      <c r="Y267" s="962">
        <v>0</v>
      </c>
      <c r="Z267" s="962">
        <v>0</v>
      </c>
      <c r="AA267" s="962">
        <v>0</v>
      </c>
      <c r="AB267" s="962">
        <v>0</v>
      </c>
      <c r="AC267" s="962">
        <v>0</v>
      </c>
      <c r="AD267" s="961">
        <v>0</v>
      </c>
      <c r="AE267" s="961">
        <v>0</v>
      </c>
      <c r="AF267" s="961">
        <v>0</v>
      </c>
      <c r="AG267" s="961">
        <v>0</v>
      </c>
      <c r="AH267" s="961">
        <v>0</v>
      </c>
      <c r="AI267" s="961">
        <v>0</v>
      </c>
      <c r="AJ267" s="961">
        <v>0</v>
      </c>
      <c r="AK267" s="961">
        <v>0</v>
      </c>
      <c r="AL267" s="961">
        <v>0</v>
      </c>
      <c r="AM267" s="961">
        <v>0</v>
      </c>
      <c r="AN267" s="961">
        <v>0</v>
      </c>
      <c r="AO267" s="961">
        <v>0</v>
      </c>
      <c r="AP267" s="961">
        <v>0</v>
      </c>
      <c r="AQ267" s="961">
        <v>0</v>
      </c>
      <c r="AR267" s="961">
        <v>0</v>
      </c>
      <c r="AS267" s="961">
        <v>0</v>
      </c>
      <c r="AT267" s="961">
        <v>0</v>
      </c>
      <c r="AU267" s="961">
        <v>0</v>
      </c>
      <c r="AV267" s="961">
        <v>0</v>
      </c>
      <c r="AW267" s="961">
        <v>0</v>
      </c>
      <c r="AX267" s="961">
        <v>0</v>
      </c>
      <c r="AY267" s="961">
        <v>0</v>
      </c>
      <c r="AZ267" s="961">
        <v>0</v>
      </c>
      <c r="BA267" s="961">
        <v>0</v>
      </c>
      <c r="BB267" s="961">
        <v>0</v>
      </c>
      <c r="BC267" s="961">
        <v>0</v>
      </c>
      <c r="BD267" s="961">
        <v>0</v>
      </c>
      <c r="BE267" s="961">
        <v>0</v>
      </c>
      <c r="BF267" s="961">
        <v>0</v>
      </c>
      <c r="BG267" s="961">
        <v>0</v>
      </c>
      <c r="BH267" s="961">
        <v>0</v>
      </c>
      <c r="BI267" s="961">
        <v>0</v>
      </c>
      <c r="BJ267" s="961">
        <v>0</v>
      </c>
      <c r="BK267" s="915"/>
      <c r="BL267" s="915"/>
    </row>
    <row r="268" spans="1:64" s="371" customFormat="1" ht="28.8" x14ac:dyDescent="0.3">
      <c r="A268" s="949">
        <v>608</v>
      </c>
      <c r="B268" s="1017"/>
      <c r="C268" s="1003">
        <v>608</v>
      </c>
      <c r="D268" s="1004" t="s">
        <v>409</v>
      </c>
      <c r="E268" s="1004"/>
      <c r="F268" s="958">
        <v>0</v>
      </c>
      <c r="G268" s="959">
        <v>0</v>
      </c>
      <c r="H268" s="959">
        <v>0</v>
      </c>
      <c r="I268" s="959">
        <v>0</v>
      </c>
      <c r="J268" s="959">
        <v>0</v>
      </c>
      <c r="K268" s="959">
        <v>0</v>
      </c>
      <c r="L268" s="960">
        <v>0</v>
      </c>
      <c r="M268" s="961">
        <v>0</v>
      </c>
      <c r="N268" s="961">
        <v>0</v>
      </c>
      <c r="O268" s="962">
        <v>0</v>
      </c>
      <c r="P268" s="962">
        <v>0</v>
      </c>
      <c r="Q268" s="962">
        <v>0</v>
      </c>
      <c r="R268" s="962">
        <v>0</v>
      </c>
      <c r="S268" s="962">
        <v>0</v>
      </c>
      <c r="T268" s="962">
        <v>0</v>
      </c>
      <c r="U268" s="962">
        <v>0</v>
      </c>
      <c r="V268" s="962">
        <v>0</v>
      </c>
      <c r="W268" s="962">
        <v>0</v>
      </c>
      <c r="X268" s="962">
        <v>0</v>
      </c>
      <c r="Y268" s="962">
        <v>0</v>
      </c>
      <c r="Z268" s="962">
        <v>0</v>
      </c>
      <c r="AA268" s="962">
        <v>0</v>
      </c>
      <c r="AB268" s="962">
        <v>0</v>
      </c>
      <c r="AC268" s="962">
        <v>0</v>
      </c>
      <c r="AD268" s="961">
        <v>0</v>
      </c>
      <c r="AE268" s="961">
        <v>0</v>
      </c>
      <c r="AF268" s="961">
        <v>0</v>
      </c>
      <c r="AG268" s="961">
        <v>0</v>
      </c>
      <c r="AH268" s="961">
        <v>0</v>
      </c>
      <c r="AI268" s="961">
        <v>0</v>
      </c>
      <c r="AJ268" s="961">
        <v>0</v>
      </c>
      <c r="AK268" s="961">
        <v>0</v>
      </c>
      <c r="AL268" s="961">
        <v>0</v>
      </c>
      <c r="AM268" s="961">
        <v>0</v>
      </c>
      <c r="AN268" s="961">
        <v>0</v>
      </c>
      <c r="AO268" s="961">
        <v>0</v>
      </c>
      <c r="AP268" s="961">
        <v>0</v>
      </c>
      <c r="AQ268" s="961">
        <v>0</v>
      </c>
      <c r="AR268" s="961">
        <v>0</v>
      </c>
      <c r="AS268" s="961">
        <v>0</v>
      </c>
      <c r="AT268" s="961">
        <v>0</v>
      </c>
      <c r="AU268" s="961">
        <v>0</v>
      </c>
      <c r="AV268" s="961">
        <v>0</v>
      </c>
      <c r="AW268" s="961">
        <v>0</v>
      </c>
      <c r="AX268" s="961">
        <v>0</v>
      </c>
      <c r="AY268" s="961">
        <v>0</v>
      </c>
      <c r="AZ268" s="961">
        <v>0</v>
      </c>
      <c r="BA268" s="961">
        <v>0</v>
      </c>
      <c r="BB268" s="961">
        <v>0</v>
      </c>
      <c r="BC268" s="961">
        <v>0</v>
      </c>
      <c r="BD268" s="961">
        <v>0</v>
      </c>
      <c r="BE268" s="961">
        <v>0</v>
      </c>
      <c r="BF268" s="961">
        <v>0</v>
      </c>
      <c r="BG268" s="961">
        <v>0</v>
      </c>
      <c r="BH268" s="961">
        <v>0</v>
      </c>
      <c r="BI268" s="961">
        <v>0</v>
      </c>
      <c r="BJ268" s="961">
        <v>0</v>
      </c>
      <c r="BK268" s="915"/>
      <c r="BL268" s="915"/>
    </row>
    <row r="269" spans="1:64" s="371" customFormat="1" ht="28.8" x14ac:dyDescent="0.3">
      <c r="A269" s="949">
        <v>609</v>
      </c>
      <c r="B269" s="1017"/>
      <c r="C269" s="1003">
        <v>609</v>
      </c>
      <c r="D269" s="1004" t="s">
        <v>425</v>
      </c>
      <c r="E269" s="1004"/>
      <c r="F269" s="958">
        <v>0</v>
      </c>
      <c r="G269" s="959">
        <v>0</v>
      </c>
      <c r="H269" s="959">
        <v>0</v>
      </c>
      <c r="I269" s="959">
        <v>0</v>
      </c>
      <c r="J269" s="959">
        <v>0</v>
      </c>
      <c r="K269" s="959">
        <v>0</v>
      </c>
      <c r="L269" s="960">
        <v>0</v>
      </c>
      <c r="M269" s="961">
        <v>0</v>
      </c>
      <c r="N269" s="961">
        <v>0</v>
      </c>
      <c r="O269" s="962">
        <v>0</v>
      </c>
      <c r="P269" s="962">
        <v>0</v>
      </c>
      <c r="Q269" s="962">
        <v>0</v>
      </c>
      <c r="R269" s="962">
        <v>0</v>
      </c>
      <c r="S269" s="962">
        <v>0</v>
      </c>
      <c r="T269" s="962">
        <v>0</v>
      </c>
      <c r="U269" s="962">
        <v>0</v>
      </c>
      <c r="V269" s="962">
        <v>0</v>
      </c>
      <c r="W269" s="962">
        <v>0</v>
      </c>
      <c r="X269" s="962">
        <v>0</v>
      </c>
      <c r="Y269" s="962">
        <v>0</v>
      </c>
      <c r="Z269" s="962">
        <v>0</v>
      </c>
      <c r="AA269" s="962">
        <v>0</v>
      </c>
      <c r="AB269" s="962">
        <v>0</v>
      </c>
      <c r="AC269" s="962">
        <v>0</v>
      </c>
      <c r="AD269" s="961">
        <v>0</v>
      </c>
      <c r="AE269" s="961">
        <v>0</v>
      </c>
      <c r="AF269" s="961">
        <v>0</v>
      </c>
      <c r="AG269" s="961">
        <v>0</v>
      </c>
      <c r="AH269" s="961">
        <v>0</v>
      </c>
      <c r="AI269" s="961">
        <v>0</v>
      </c>
      <c r="AJ269" s="961">
        <v>0</v>
      </c>
      <c r="AK269" s="961">
        <v>0</v>
      </c>
      <c r="AL269" s="961">
        <v>0</v>
      </c>
      <c r="AM269" s="961">
        <v>0</v>
      </c>
      <c r="AN269" s="961">
        <v>0</v>
      </c>
      <c r="AO269" s="961">
        <v>0</v>
      </c>
      <c r="AP269" s="961">
        <v>0</v>
      </c>
      <c r="AQ269" s="961">
        <v>0</v>
      </c>
      <c r="AR269" s="961">
        <v>0</v>
      </c>
      <c r="AS269" s="961">
        <v>0</v>
      </c>
      <c r="AT269" s="961">
        <v>0</v>
      </c>
      <c r="AU269" s="961">
        <v>0</v>
      </c>
      <c r="AV269" s="961">
        <v>0</v>
      </c>
      <c r="AW269" s="961">
        <v>0</v>
      </c>
      <c r="AX269" s="961">
        <v>0</v>
      </c>
      <c r="AY269" s="961">
        <v>0</v>
      </c>
      <c r="AZ269" s="961">
        <v>0</v>
      </c>
      <c r="BA269" s="961">
        <v>0</v>
      </c>
      <c r="BB269" s="961">
        <v>0</v>
      </c>
      <c r="BC269" s="961">
        <v>0</v>
      </c>
      <c r="BD269" s="961">
        <v>0</v>
      </c>
      <c r="BE269" s="961">
        <v>0</v>
      </c>
      <c r="BF269" s="961">
        <v>0</v>
      </c>
      <c r="BG269" s="961">
        <v>0</v>
      </c>
      <c r="BH269" s="961">
        <v>0</v>
      </c>
      <c r="BI269" s="961">
        <v>0</v>
      </c>
      <c r="BJ269" s="961">
        <v>0</v>
      </c>
      <c r="BK269" s="915"/>
      <c r="BL269" s="915"/>
    </row>
    <row r="270" spans="1:64" s="371" customFormat="1" x14ac:dyDescent="0.3">
      <c r="A270" s="949">
        <v>610</v>
      </c>
      <c r="B270" s="1017"/>
      <c r="C270" s="1003">
        <v>610</v>
      </c>
      <c r="D270" s="1004" t="s">
        <v>410</v>
      </c>
      <c r="E270" s="1004"/>
      <c r="F270" s="958">
        <v>0</v>
      </c>
      <c r="G270" s="959">
        <v>0</v>
      </c>
      <c r="H270" s="959">
        <v>0</v>
      </c>
      <c r="I270" s="959">
        <v>0</v>
      </c>
      <c r="J270" s="959">
        <v>0</v>
      </c>
      <c r="K270" s="959">
        <v>0</v>
      </c>
      <c r="L270" s="960">
        <v>0</v>
      </c>
      <c r="M270" s="961">
        <v>0</v>
      </c>
      <c r="N270" s="961">
        <v>0</v>
      </c>
      <c r="O270" s="962">
        <v>0</v>
      </c>
      <c r="P270" s="962">
        <v>0</v>
      </c>
      <c r="Q270" s="962">
        <v>0</v>
      </c>
      <c r="R270" s="962">
        <v>0</v>
      </c>
      <c r="S270" s="962">
        <v>0</v>
      </c>
      <c r="T270" s="962">
        <v>0</v>
      </c>
      <c r="U270" s="962">
        <v>0</v>
      </c>
      <c r="V270" s="962">
        <v>0</v>
      </c>
      <c r="W270" s="962">
        <v>0</v>
      </c>
      <c r="X270" s="962">
        <v>0</v>
      </c>
      <c r="Y270" s="962">
        <v>0</v>
      </c>
      <c r="Z270" s="962">
        <v>0</v>
      </c>
      <c r="AA270" s="962">
        <v>0</v>
      </c>
      <c r="AB270" s="962">
        <v>0</v>
      </c>
      <c r="AC270" s="962">
        <v>0</v>
      </c>
      <c r="AD270" s="961">
        <v>0</v>
      </c>
      <c r="AE270" s="961">
        <v>0</v>
      </c>
      <c r="AF270" s="961">
        <v>0</v>
      </c>
      <c r="AG270" s="961">
        <v>0</v>
      </c>
      <c r="AH270" s="961">
        <v>0</v>
      </c>
      <c r="AI270" s="961">
        <v>0</v>
      </c>
      <c r="AJ270" s="961">
        <v>0</v>
      </c>
      <c r="AK270" s="961">
        <v>0</v>
      </c>
      <c r="AL270" s="961">
        <v>0</v>
      </c>
      <c r="AM270" s="961">
        <v>0</v>
      </c>
      <c r="AN270" s="961">
        <v>0</v>
      </c>
      <c r="AO270" s="961">
        <v>0</v>
      </c>
      <c r="AP270" s="961">
        <v>0</v>
      </c>
      <c r="AQ270" s="961">
        <v>0</v>
      </c>
      <c r="AR270" s="961">
        <v>0</v>
      </c>
      <c r="AS270" s="961">
        <v>0</v>
      </c>
      <c r="AT270" s="961">
        <v>0</v>
      </c>
      <c r="AU270" s="961">
        <v>0</v>
      </c>
      <c r="AV270" s="961">
        <v>0</v>
      </c>
      <c r="AW270" s="961">
        <v>0</v>
      </c>
      <c r="AX270" s="961">
        <v>0</v>
      </c>
      <c r="AY270" s="961">
        <v>0</v>
      </c>
      <c r="AZ270" s="961">
        <v>0</v>
      </c>
      <c r="BA270" s="961">
        <v>0</v>
      </c>
      <c r="BB270" s="961">
        <v>0</v>
      </c>
      <c r="BC270" s="961">
        <v>0</v>
      </c>
      <c r="BD270" s="961">
        <v>0</v>
      </c>
      <c r="BE270" s="961">
        <v>0</v>
      </c>
      <c r="BF270" s="961">
        <v>0</v>
      </c>
      <c r="BG270" s="961">
        <v>0</v>
      </c>
      <c r="BH270" s="961">
        <v>0</v>
      </c>
      <c r="BI270" s="961">
        <v>0</v>
      </c>
      <c r="BJ270" s="961">
        <v>0</v>
      </c>
      <c r="BK270" s="915"/>
      <c r="BL270" s="915"/>
    </row>
    <row r="271" spans="1:64" s="371" customFormat="1" ht="28.8" x14ac:dyDescent="0.3">
      <c r="A271" s="949">
        <v>611</v>
      </c>
      <c r="B271" s="1017"/>
      <c r="C271" s="1003">
        <v>611</v>
      </c>
      <c r="D271" s="1004" t="s">
        <v>411</v>
      </c>
      <c r="E271" s="1004"/>
      <c r="F271" s="958">
        <v>0</v>
      </c>
      <c r="G271" s="959">
        <v>0</v>
      </c>
      <c r="H271" s="959">
        <v>0</v>
      </c>
      <c r="I271" s="959">
        <v>0</v>
      </c>
      <c r="J271" s="959">
        <v>0</v>
      </c>
      <c r="K271" s="959">
        <v>0</v>
      </c>
      <c r="L271" s="960">
        <v>0</v>
      </c>
      <c r="M271" s="961">
        <v>0</v>
      </c>
      <c r="N271" s="961">
        <v>0</v>
      </c>
      <c r="O271" s="962">
        <v>0</v>
      </c>
      <c r="P271" s="962">
        <v>0</v>
      </c>
      <c r="Q271" s="962">
        <v>0</v>
      </c>
      <c r="R271" s="962">
        <v>0</v>
      </c>
      <c r="S271" s="962">
        <v>0</v>
      </c>
      <c r="T271" s="962">
        <v>0</v>
      </c>
      <c r="U271" s="962">
        <v>0</v>
      </c>
      <c r="V271" s="962">
        <v>0</v>
      </c>
      <c r="W271" s="962">
        <v>0</v>
      </c>
      <c r="X271" s="962">
        <v>0</v>
      </c>
      <c r="Y271" s="962">
        <v>0</v>
      </c>
      <c r="Z271" s="962">
        <v>0</v>
      </c>
      <c r="AA271" s="962">
        <v>0</v>
      </c>
      <c r="AB271" s="962">
        <v>0</v>
      </c>
      <c r="AC271" s="962">
        <v>0</v>
      </c>
      <c r="AD271" s="961">
        <v>0</v>
      </c>
      <c r="AE271" s="961">
        <v>0</v>
      </c>
      <c r="AF271" s="961">
        <v>0</v>
      </c>
      <c r="AG271" s="961">
        <v>0</v>
      </c>
      <c r="AH271" s="961">
        <v>0</v>
      </c>
      <c r="AI271" s="961">
        <v>0</v>
      </c>
      <c r="AJ271" s="961">
        <v>0</v>
      </c>
      <c r="AK271" s="961">
        <v>0</v>
      </c>
      <c r="AL271" s="961">
        <v>0</v>
      </c>
      <c r="AM271" s="961">
        <v>0</v>
      </c>
      <c r="AN271" s="961">
        <v>0</v>
      </c>
      <c r="AO271" s="961">
        <v>0</v>
      </c>
      <c r="AP271" s="961">
        <v>0</v>
      </c>
      <c r="AQ271" s="961">
        <v>0</v>
      </c>
      <c r="AR271" s="961">
        <v>0</v>
      </c>
      <c r="AS271" s="961">
        <v>0</v>
      </c>
      <c r="AT271" s="961">
        <v>0</v>
      </c>
      <c r="AU271" s="961">
        <v>0</v>
      </c>
      <c r="AV271" s="961">
        <v>0</v>
      </c>
      <c r="AW271" s="961">
        <v>0</v>
      </c>
      <c r="AX271" s="961">
        <v>0</v>
      </c>
      <c r="AY271" s="961">
        <v>0</v>
      </c>
      <c r="AZ271" s="961">
        <v>0</v>
      </c>
      <c r="BA271" s="961">
        <v>0</v>
      </c>
      <c r="BB271" s="961">
        <v>0</v>
      </c>
      <c r="BC271" s="961">
        <v>0</v>
      </c>
      <c r="BD271" s="961">
        <v>0</v>
      </c>
      <c r="BE271" s="961">
        <v>0</v>
      </c>
      <c r="BF271" s="961">
        <v>0</v>
      </c>
      <c r="BG271" s="961">
        <v>0</v>
      </c>
      <c r="BH271" s="961">
        <v>0</v>
      </c>
      <c r="BI271" s="961">
        <v>0</v>
      </c>
      <c r="BJ271" s="961">
        <v>0</v>
      </c>
      <c r="BK271" s="915"/>
      <c r="BL271" s="915"/>
    </row>
    <row r="272" spans="1:64" s="371" customFormat="1" ht="28.8" x14ac:dyDescent="0.3">
      <c r="A272" s="949">
        <v>612</v>
      </c>
      <c r="B272" s="1017"/>
      <c r="C272" s="1003">
        <v>612</v>
      </c>
      <c r="D272" s="1004" t="s">
        <v>426</v>
      </c>
      <c r="E272" s="1004"/>
      <c r="F272" s="958">
        <v>0</v>
      </c>
      <c r="G272" s="959">
        <v>0</v>
      </c>
      <c r="H272" s="959">
        <v>0</v>
      </c>
      <c r="I272" s="959">
        <v>0</v>
      </c>
      <c r="J272" s="959">
        <v>0</v>
      </c>
      <c r="K272" s="959">
        <v>0</v>
      </c>
      <c r="L272" s="960">
        <v>0</v>
      </c>
      <c r="M272" s="961">
        <v>0</v>
      </c>
      <c r="N272" s="961">
        <v>0</v>
      </c>
      <c r="O272" s="962">
        <v>0</v>
      </c>
      <c r="P272" s="962">
        <v>0</v>
      </c>
      <c r="Q272" s="962">
        <v>0</v>
      </c>
      <c r="R272" s="962">
        <v>0</v>
      </c>
      <c r="S272" s="962">
        <v>0</v>
      </c>
      <c r="T272" s="962">
        <v>0</v>
      </c>
      <c r="U272" s="962">
        <v>0</v>
      </c>
      <c r="V272" s="962">
        <v>0</v>
      </c>
      <c r="W272" s="962">
        <v>0</v>
      </c>
      <c r="X272" s="962">
        <v>0</v>
      </c>
      <c r="Y272" s="962">
        <v>0</v>
      </c>
      <c r="Z272" s="962">
        <v>0</v>
      </c>
      <c r="AA272" s="962">
        <v>0</v>
      </c>
      <c r="AB272" s="962">
        <v>0</v>
      </c>
      <c r="AC272" s="962">
        <v>0</v>
      </c>
      <c r="AD272" s="961">
        <v>0</v>
      </c>
      <c r="AE272" s="961">
        <v>0</v>
      </c>
      <c r="AF272" s="961">
        <v>0</v>
      </c>
      <c r="AG272" s="961">
        <v>0</v>
      </c>
      <c r="AH272" s="961">
        <v>0</v>
      </c>
      <c r="AI272" s="961">
        <v>0</v>
      </c>
      <c r="AJ272" s="961">
        <v>0</v>
      </c>
      <c r="AK272" s="961">
        <v>0</v>
      </c>
      <c r="AL272" s="961">
        <v>0</v>
      </c>
      <c r="AM272" s="961">
        <v>0</v>
      </c>
      <c r="AN272" s="961">
        <v>0</v>
      </c>
      <c r="AO272" s="961">
        <v>0</v>
      </c>
      <c r="AP272" s="961">
        <v>0</v>
      </c>
      <c r="AQ272" s="961">
        <v>0</v>
      </c>
      <c r="AR272" s="961">
        <v>0</v>
      </c>
      <c r="AS272" s="961">
        <v>0</v>
      </c>
      <c r="AT272" s="961">
        <v>0</v>
      </c>
      <c r="AU272" s="961">
        <v>0</v>
      </c>
      <c r="AV272" s="961">
        <v>0</v>
      </c>
      <c r="AW272" s="961">
        <v>0</v>
      </c>
      <c r="AX272" s="961">
        <v>0</v>
      </c>
      <c r="AY272" s="961">
        <v>0</v>
      </c>
      <c r="AZ272" s="961">
        <v>0</v>
      </c>
      <c r="BA272" s="961">
        <v>0</v>
      </c>
      <c r="BB272" s="961">
        <v>0</v>
      </c>
      <c r="BC272" s="961">
        <v>0</v>
      </c>
      <c r="BD272" s="961">
        <v>0</v>
      </c>
      <c r="BE272" s="961">
        <v>0</v>
      </c>
      <c r="BF272" s="961">
        <v>0</v>
      </c>
      <c r="BG272" s="961">
        <v>0</v>
      </c>
      <c r="BH272" s="961">
        <v>0</v>
      </c>
      <c r="BI272" s="961">
        <v>0</v>
      </c>
      <c r="BJ272" s="961">
        <v>0</v>
      </c>
      <c r="BK272" s="915"/>
      <c r="BL272" s="915"/>
    </row>
    <row r="273" spans="1:64" s="371" customFormat="1" x14ac:dyDescent="0.3">
      <c r="A273" s="949">
        <v>613</v>
      </c>
      <c r="B273" s="1017"/>
      <c r="C273" s="1003">
        <v>613</v>
      </c>
      <c r="D273" s="1004" t="s">
        <v>419</v>
      </c>
      <c r="E273" s="1004"/>
      <c r="F273" s="958">
        <v>0</v>
      </c>
      <c r="G273" s="959">
        <v>0</v>
      </c>
      <c r="H273" s="959">
        <v>0</v>
      </c>
      <c r="I273" s="959">
        <v>0</v>
      </c>
      <c r="J273" s="959">
        <v>0</v>
      </c>
      <c r="K273" s="959">
        <v>0</v>
      </c>
      <c r="L273" s="960">
        <v>0</v>
      </c>
      <c r="M273" s="961">
        <v>0</v>
      </c>
      <c r="N273" s="961">
        <v>0</v>
      </c>
      <c r="O273" s="962">
        <v>0</v>
      </c>
      <c r="P273" s="962">
        <v>0</v>
      </c>
      <c r="Q273" s="962">
        <v>0</v>
      </c>
      <c r="R273" s="962">
        <v>0</v>
      </c>
      <c r="S273" s="962">
        <v>0</v>
      </c>
      <c r="T273" s="962">
        <v>0</v>
      </c>
      <c r="U273" s="962">
        <v>0</v>
      </c>
      <c r="V273" s="962">
        <v>0</v>
      </c>
      <c r="W273" s="962">
        <v>0</v>
      </c>
      <c r="X273" s="962">
        <v>0</v>
      </c>
      <c r="Y273" s="962">
        <v>0</v>
      </c>
      <c r="Z273" s="962">
        <v>0</v>
      </c>
      <c r="AA273" s="962">
        <v>0</v>
      </c>
      <c r="AB273" s="962">
        <v>0</v>
      </c>
      <c r="AC273" s="962">
        <v>0</v>
      </c>
      <c r="AD273" s="961">
        <v>0</v>
      </c>
      <c r="AE273" s="961">
        <v>0</v>
      </c>
      <c r="AF273" s="961">
        <v>0</v>
      </c>
      <c r="AG273" s="961">
        <v>0</v>
      </c>
      <c r="AH273" s="961">
        <v>0</v>
      </c>
      <c r="AI273" s="961">
        <v>0</v>
      </c>
      <c r="AJ273" s="961">
        <v>0</v>
      </c>
      <c r="AK273" s="961">
        <v>0</v>
      </c>
      <c r="AL273" s="961">
        <v>0</v>
      </c>
      <c r="AM273" s="961">
        <v>0</v>
      </c>
      <c r="AN273" s="961">
        <v>0</v>
      </c>
      <c r="AO273" s="961">
        <v>0</v>
      </c>
      <c r="AP273" s="961">
        <v>0</v>
      </c>
      <c r="AQ273" s="961">
        <v>0</v>
      </c>
      <c r="AR273" s="961">
        <v>0</v>
      </c>
      <c r="AS273" s="961">
        <v>0</v>
      </c>
      <c r="AT273" s="961">
        <v>0</v>
      </c>
      <c r="AU273" s="961">
        <v>0</v>
      </c>
      <c r="AV273" s="961">
        <v>0</v>
      </c>
      <c r="AW273" s="961">
        <v>0</v>
      </c>
      <c r="AX273" s="961">
        <v>0</v>
      </c>
      <c r="AY273" s="961">
        <v>0</v>
      </c>
      <c r="AZ273" s="961">
        <v>0</v>
      </c>
      <c r="BA273" s="961">
        <v>0</v>
      </c>
      <c r="BB273" s="961">
        <v>0</v>
      </c>
      <c r="BC273" s="961">
        <v>0</v>
      </c>
      <c r="BD273" s="961">
        <v>0</v>
      </c>
      <c r="BE273" s="961">
        <v>0</v>
      </c>
      <c r="BF273" s="961">
        <v>0</v>
      </c>
      <c r="BG273" s="961">
        <v>0</v>
      </c>
      <c r="BH273" s="961">
        <v>0</v>
      </c>
      <c r="BI273" s="961">
        <v>0</v>
      </c>
      <c r="BJ273" s="961">
        <v>0</v>
      </c>
      <c r="BK273" s="915"/>
      <c r="BL273" s="915"/>
    </row>
    <row r="274" spans="1:64" s="371" customFormat="1" ht="28.8" x14ac:dyDescent="0.3">
      <c r="A274" s="949">
        <v>614</v>
      </c>
      <c r="B274" s="1017"/>
      <c r="C274" s="1003">
        <v>614</v>
      </c>
      <c r="D274" s="1004" t="s">
        <v>412</v>
      </c>
      <c r="E274" s="1004"/>
      <c r="F274" s="958">
        <v>0</v>
      </c>
      <c r="G274" s="959">
        <v>0</v>
      </c>
      <c r="H274" s="959">
        <v>0</v>
      </c>
      <c r="I274" s="959">
        <v>0</v>
      </c>
      <c r="J274" s="959">
        <v>0</v>
      </c>
      <c r="K274" s="959">
        <v>0</v>
      </c>
      <c r="L274" s="960">
        <v>0</v>
      </c>
      <c r="M274" s="961">
        <v>0</v>
      </c>
      <c r="N274" s="961">
        <v>0</v>
      </c>
      <c r="O274" s="962">
        <v>0</v>
      </c>
      <c r="P274" s="962">
        <v>0</v>
      </c>
      <c r="Q274" s="962">
        <v>0</v>
      </c>
      <c r="R274" s="962">
        <v>0</v>
      </c>
      <c r="S274" s="962">
        <v>0</v>
      </c>
      <c r="T274" s="962">
        <v>0</v>
      </c>
      <c r="U274" s="962">
        <v>0</v>
      </c>
      <c r="V274" s="962">
        <v>0</v>
      </c>
      <c r="W274" s="962">
        <v>0</v>
      </c>
      <c r="X274" s="962">
        <v>0</v>
      </c>
      <c r="Y274" s="962">
        <v>0</v>
      </c>
      <c r="Z274" s="962">
        <v>0</v>
      </c>
      <c r="AA274" s="962">
        <v>0</v>
      </c>
      <c r="AB274" s="962">
        <v>0</v>
      </c>
      <c r="AC274" s="962">
        <v>0</v>
      </c>
      <c r="AD274" s="961">
        <v>0</v>
      </c>
      <c r="AE274" s="961">
        <v>0</v>
      </c>
      <c r="AF274" s="961">
        <v>0</v>
      </c>
      <c r="AG274" s="961">
        <v>0</v>
      </c>
      <c r="AH274" s="961">
        <v>0</v>
      </c>
      <c r="AI274" s="961">
        <v>0</v>
      </c>
      <c r="AJ274" s="961">
        <v>0</v>
      </c>
      <c r="AK274" s="961">
        <v>0</v>
      </c>
      <c r="AL274" s="961">
        <v>0</v>
      </c>
      <c r="AM274" s="961">
        <v>0</v>
      </c>
      <c r="AN274" s="961">
        <v>0</v>
      </c>
      <c r="AO274" s="961">
        <v>0</v>
      </c>
      <c r="AP274" s="961">
        <v>0</v>
      </c>
      <c r="AQ274" s="961">
        <v>0</v>
      </c>
      <c r="AR274" s="961">
        <v>0</v>
      </c>
      <c r="AS274" s="961">
        <v>0</v>
      </c>
      <c r="AT274" s="961">
        <v>0</v>
      </c>
      <c r="AU274" s="961">
        <v>0</v>
      </c>
      <c r="AV274" s="961">
        <v>0</v>
      </c>
      <c r="AW274" s="961">
        <v>0</v>
      </c>
      <c r="AX274" s="961">
        <v>0</v>
      </c>
      <c r="AY274" s="961">
        <v>0</v>
      </c>
      <c r="AZ274" s="961">
        <v>0</v>
      </c>
      <c r="BA274" s="961">
        <v>0</v>
      </c>
      <c r="BB274" s="961">
        <v>0</v>
      </c>
      <c r="BC274" s="961">
        <v>0</v>
      </c>
      <c r="BD274" s="961">
        <v>0</v>
      </c>
      <c r="BE274" s="961">
        <v>0</v>
      </c>
      <c r="BF274" s="961">
        <v>0</v>
      </c>
      <c r="BG274" s="961">
        <v>0</v>
      </c>
      <c r="BH274" s="961">
        <v>0</v>
      </c>
      <c r="BI274" s="961">
        <v>0</v>
      </c>
      <c r="BJ274" s="961">
        <v>0</v>
      </c>
      <c r="BK274" s="915"/>
      <c r="BL274" s="915"/>
    </row>
    <row r="275" spans="1:64" s="371" customFormat="1" ht="28.8" x14ac:dyDescent="0.3">
      <c r="A275" s="949">
        <v>615</v>
      </c>
      <c r="B275" s="1017"/>
      <c r="C275" s="1003">
        <v>615</v>
      </c>
      <c r="D275" s="1004" t="s">
        <v>427</v>
      </c>
      <c r="E275" s="1004"/>
      <c r="F275" s="958">
        <v>0</v>
      </c>
      <c r="G275" s="959">
        <v>0</v>
      </c>
      <c r="H275" s="959">
        <v>0</v>
      </c>
      <c r="I275" s="959">
        <v>0</v>
      </c>
      <c r="J275" s="959">
        <v>0</v>
      </c>
      <c r="K275" s="959">
        <v>0</v>
      </c>
      <c r="L275" s="960">
        <v>0</v>
      </c>
      <c r="M275" s="961">
        <v>0</v>
      </c>
      <c r="N275" s="961">
        <v>0</v>
      </c>
      <c r="O275" s="962">
        <v>0</v>
      </c>
      <c r="P275" s="962">
        <v>0</v>
      </c>
      <c r="Q275" s="962">
        <v>0</v>
      </c>
      <c r="R275" s="962">
        <v>0</v>
      </c>
      <c r="S275" s="962">
        <v>0</v>
      </c>
      <c r="T275" s="962">
        <v>0</v>
      </c>
      <c r="U275" s="962">
        <v>0</v>
      </c>
      <c r="V275" s="962">
        <v>0</v>
      </c>
      <c r="W275" s="962">
        <v>0</v>
      </c>
      <c r="X275" s="962">
        <v>0</v>
      </c>
      <c r="Y275" s="962">
        <v>0</v>
      </c>
      <c r="Z275" s="962">
        <v>0</v>
      </c>
      <c r="AA275" s="962">
        <v>0</v>
      </c>
      <c r="AB275" s="962">
        <v>0</v>
      </c>
      <c r="AC275" s="962">
        <v>0</v>
      </c>
      <c r="AD275" s="961">
        <v>0</v>
      </c>
      <c r="AE275" s="961">
        <v>0</v>
      </c>
      <c r="AF275" s="961">
        <v>0</v>
      </c>
      <c r="AG275" s="961">
        <v>0</v>
      </c>
      <c r="AH275" s="961">
        <v>0</v>
      </c>
      <c r="AI275" s="961">
        <v>0</v>
      </c>
      <c r="AJ275" s="961">
        <v>0</v>
      </c>
      <c r="AK275" s="961">
        <v>0</v>
      </c>
      <c r="AL275" s="961">
        <v>0</v>
      </c>
      <c r="AM275" s="961">
        <v>0</v>
      </c>
      <c r="AN275" s="961">
        <v>0</v>
      </c>
      <c r="AO275" s="961">
        <v>0</v>
      </c>
      <c r="AP275" s="961">
        <v>0</v>
      </c>
      <c r="AQ275" s="961">
        <v>0</v>
      </c>
      <c r="AR275" s="961">
        <v>0</v>
      </c>
      <c r="AS275" s="961">
        <v>0</v>
      </c>
      <c r="AT275" s="961">
        <v>0</v>
      </c>
      <c r="AU275" s="961">
        <v>0</v>
      </c>
      <c r="AV275" s="961">
        <v>0</v>
      </c>
      <c r="AW275" s="961">
        <v>0</v>
      </c>
      <c r="AX275" s="961">
        <v>0</v>
      </c>
      <c r="AY275" s="961">
        <v>0</v>
      </c>
      <c r="AZ275" s="961">
        <v>0</v>
      </c>
      <c r="BA275" s="961">
        <v>0</v>
      </c>
      <c r="BB275" s="961">
        <v>0</v>
      </c>
      <c r="BC275" s="961">
        <v>0</v>
      </c>
      <c r="BD275" s="961">
        <v>0</v>
      </c>
      <c r="BE275" s="961">
        <v>0</v>
      </c>
      <c r="BF275" s="961">
        <v>0</v>
      </c>
      <c r="BG275" s="961">
        <v>0</v>
      </c>
      <c r="BH275" s="961">
        <v>0</v>
      </c>
      <c r="BI275" s="961">
        <v>0</v>
      </c>
      <c r="BJ275" s="961">
        <v>0</v>
      </c>
      <c r="BK275" s="915"/>
      <c r="BL275" s="915"/>
    </row>
    <row r="276" spans="1:64" s="371" customFormat="1" x14ac:dyDescent="0.3">
      <c r="A276" s="949">
        <v>616</v>
      </c>
      <c r="B276" s="1017"/>
      <c r="C276" s="1003">
        <v>616</v>
      </c>
      <c r="D276" s="1004" t="s">
        <v>413</v>
      </c>
      <c r="E276" s="1004"/>
      <c r="F276" s="958">
        <v>0</v>
      </c>
      <c r="G276" s="959">
        <v>0</v>
      </c>
      <c r="H276" s="959">
        <v>0</v>
      </c>
      <c r="I276" s="959">
        <v>0</v>
      </c>
      <c r="J276" s="959">
        <v>0</v>
      </c>
      <c r="K276" s="959">
        <v>0</v>
      </c>
      <c r="L276" s="960">
        <v>0</v>
      </c>
      <c r="M276" s="961">
        <v>0</v>
      </c>
      <c r="N276" s="961">
        <v>0</v>
      </c>
      <c r="O276" s="962">
        <v>0</v>
      </c>
      <c r="P276" s="962">
        <v>0</v>
      </c>
      <c r="Q276" s="962">
        <v>0</v>
      </c>
      <c r="R276" s="962">
        <v>0</v>
      </c>
      <c r="S276" s="962">
        <v>0</v>
      </c>
      <c r="T276" s="962">
        <v>0</v>
      </c>
      <c r="U276" s="962">
        <v>0</v>
      </c>
      <c r="V276" s="962">
        <v>0</v>
      </c>
      <c r="W276" s="962">
        <v>0</v>
      </c>
      <c r="X276" s="962">
        <v>0</v>
      </c>
      <c r="Y276" s="962">
        <v>0</v>
      </c>
      <c r="Z276" s="962">
        <v>0</v>
      </c>
      <c r="AA276" s="962">
        <v>0</v>
      </c>
      <c r="AB276" s="962">
        <v>0</v>
      </c>
      <c r="AC276" s="962">
        <v>0</v>
      </c>
      <c r="AD276" s="961">
        <v>0</v>
      </c>
      <c r="AE276" s="961">
        <v>0</v>
      </c>
      <c r="AF276" s="961">
        <v>0</v>
      </c>
      <c r="AG276" s="961">
        <v>0</v>
      </c>
      <c r="AH276" s="961">
        <v>0</v>
      </c>
      <c r="AI276" s="961">
        <v>0</v>
      </c>
      <c r="AJ276" s="961">
        <v>0</v>
      </c>
      <c r="AK276" s="961">
        <v>0</v>
      </c>
      <c r="AL276" s="961">
        <v>0</v>
      </c>
      <c r="AM276" s="961">
        <v>0</v>
      </c>
      <c r="AN276" s="961">
        <v>0</v>
      </c>
      <c r="AO276" s="961">
        <v>0</v>
      </c>
      <c r="AP276" s="961">
        <v>0</v>
      </c>
      <c r="AQ276" s="961">
        <v>0</v>
      </c>
      <c r="AR276" s="961">
        <v>0</v>
      </c>
      <c r="AS276" s="961">
        <v>0</v>
      </c>
      <c r="AT276" s="961">
        <v>0</v>
      </c>
      <c r="AU276" s="961">
        <v>0</v>
      </c>
      <c r="AV276" s="961">
        <v>0</v>
      </c>
      <c r="AW276" s="961">
        <v>0</v>
      </c>
      <c r="AX276" s="961">
        <v>0</v>
      </c>
      <c r="AY276" s="961">
        <v>0</v>
      </c>
      <c r="AZ276" s="961">
        <v>0</v>
      </c>
      <c r="BA276" s="961">
        <v>0</v>
      </c>
      <c r="BB276" s="961">
        <v>0</v>
      </c>
      <c r="BC276" s="961">
        <v>0</v>
      </c>
      <c r="BD276" s="961">
        <v>0</v>
      </c>
      <c r="BE276" s="961">
        <v>0</v>
      </c>
      <c r="BF276" s="961">
        <v>0</v>
      </c>
      <c r="BG276" s="961">
        <v>0</v>
      </c>
      <c r="BH276" s="961">
        <v>0</v>
      </c>
      <c r="BI276" s="961">
        <v>0</v>
      </c>
      <c r="BJ276" s="961">
        <v>0</v>
      </c>
      <c r="BK276" s="915"/>
      <c r="BL276" s="915"/>
    </row>
    <row r="277" spans="1:64" s="371" customFormat="1" ht="28.8" x14ac:dyDescent="0.3">
      <c r="A277" s="949">
        <v>617</v>
      </c>
      <c r="B277" s="1017"/>
      <c r="C277" s="1003">
        <v>617</v>
      </c>
      <c r="D277" s="1004" t="s">
        <v>414</v>
      </c>
      <c r="E277" s="1004"/>
      <c r="F277" s="958">
        <v>0</v>
      </c>
      <c r="G277" s="959">
        <v>0</v>
      </c>
      <c r="H277" s="959">
        <v>0</v>
      </c>
      <c r="I277" s="959">
        <v>0</v>
      </c>
      <c r="J277" s="959">
        <v>0</v>
      </c>
      <c r="K277" s="959">
        <v>0</v>
      </c>
      <c r="L277" s="960">
        <v>0</v>
      </c>
      <c r="M277" s="961">
        <v>0</v>
      </c>
      <c r="N277" s="961">
        <v>0</v>
      </c>
      <c r="O277" s="962">
        <v>0</v>
      </c>
      <c r="P277" s="962">
        <v>0</v>
      </c>
      <c r="Q277" s="962">
        <v>0</v>
      </c>
      <c r="R277" s="962">
        <v>0</v>
      </c>
      <c r="S277" s="962">
        <v>0</v>
      </c>
      <c r="T277" s="962">
        <v>0</v>
      </c>
      <c r="U277" s="962">
        <v>0</v>
      </c>
      <c r="V277" s="962">
        <v>0</v>
      </c>
      <c r="W277" s="962">
        <v>0</v>
      </c>
      <c r="X277" s="962">
        <v>0</v>
      </c>
      <c r="Y277" s="962">
        <v>0</v>
      </c>
      <c r="Z277" s="962">
        <v>0</v>
      </c>
      <c r="AA277" s="962">
        <v>0</v>
      </c>
      <c r="AB277" s="962">
        <v>0</v>
      </c>
      <c r="AC277" s="962">
        <v>0</v>
      </c>
      <c r="AD277" s="961">
        <v>0</v>
      </c>
      <c r="AE277" s="961">
        <v>0</v>
      </c>
      <c r="AF277" s="961">
        <v>0</v>
      </c>
      <c r="AG277" s="961">
        <v>0</v>
      </c>
      <c r="AH277" s="961">
        <v>0</v>
      </c>
      <c r="AI277" s="961">
        <v>0</v>
      </c>
      <c r="AJ277" s="961">
        <v>0</v>
      </c>
      <c r="AK277" s="961">
        <v>0</v>
      </c>
      <c r="AL277" s="961">
        <v>0</v>
      </c>
      <c r="AM277" s="961">
        <v>0</v>
      </c>
      <c r="AN277" s="961">
        <v>0</v>
      </c>
      <c r="AO277" s="961">
        <v>0</v>
      </c>
      <c r="AP277" s="961">
        <v>0</v>
      </c>
      <c r="AQ277" s="961">
        <v>0</v>
      </c>
      <c r="AR277" s="961">
        <v>0</v>
      </c>
      <c r="AS277" s="961">
        <v>0</v>
      </c>
      <c r="AT277" s="961">
        <v>0</v>
      </c>
      <c r="AU277" s="961">
        <v>0</v>
      </c>
      <c r="AV277" s="961">
        <v>0</v>
      </c>
      <c r="AW277" s="961">
        <v>0</v>
      </c>
      <c r="AX277" s="961">
        <v>0</v>
      </c>
      <c r="AY277" s="961">
        <v>0</v>
      </c>
      <c r="AZ277" s="961">
        <v>0</v>
      </c>
      <c r="BA277" s="961">
        <v>0</v>
      </c>
      <c r="BB277" s="961">
        <v>0</v>
      </c>
      <c r="BC277" s="961">
        <v>0</v>
      </c>
      <c r="BD277" s="961">
        <v>0</v>
      </c>
      <c r="BE277" s="961">
        <v>0</v>
      </c>
      <c r="BF277" s="961">
        <v>0</v>
      </c>
      <c r="BG277" s="961">
        <v>0</v>
      </c>
      <c r="BH277" s="961">
        <v>0</v>
      </c>
      <c r="BI277" s="961">
        <v>0</v>
      </c>
      <c r="BJ277" s="961">
        <v>0</v>
      </c>
      <c r="BK277" s="915"/>
      <c r="BL277" s="915"/>
    </row>
    <row r="278" spans="1:64" s="371" customFormat="1" ht="28.8" x14ac:dyDescent="0.3">
      <c r="A278" s="949">
        <v>618</v>
      </c>
      <c r="B278" s="1017"/>
      <c r="C278" s="1003">
        <v>618</v>
      </c>
      <c r="D278" s="1004" t="s">
        <v>428</v>
      </c>
      <c r="E278" s="1004"/>
      <c r="F278" s="958">
        <v>0</v>
      </c>
      <c r="G278" s="959">
        <v>0</v>
      </c>
      <c r="H278" s="959">
        <v>0</v>
      </c>
      <c r="I278" s="959">
        <v>0</v>
      </c>
      <c r="J278" s="959">
        <v>0</v>
      </c>
      <c r="K278" s="959">
        <v>0</v>
      </c>
      <c r="L278" s="960">
        <v>0</v>
      </c>
      <c r="M278" s="961">
        <v>0</v>
      </c>
      <c r="N278" s="961">
        <v>0</v>
      </c>
      <c r="O278" s="962">
        <v>0</v>
      </c>
      <c r="P278" s="962">
        <v>0</v>
      </c>
      <c r="Q278" s="962">
        <v>0</v>
      </c>
      <c r="R278" s="962">
        <v>0</v>
      </c>
      <c r="S278" s="962">
        <v>0</v>
      </c>
      <c r="T278" s="962">
        <v>0</v>
      </c>
      <c r="U278" s="962">
        <v>0</v>
      </c>
      <c r="V278" s="962">
        <v>0</v>
      </c>
      <c r="W278" s="962">
        <v>0</v>
      </c>
      <c r="X278" s="962">
        <v>0</v>
      </c>
      <c r="Y278" s="962">
        <v>0</v>
      </c>
      <c r="Z278" s="962">
        <v>0</v>
      </c>
      <c r="AA278" s="962">
        <v>0</v>
      </c>
      <c r="AB278" s="962">
        <v>0</v>
      </c>
      <c r="AC278" s="962">
        <v>0</v>
      </c>
      <c r="AD278" s="961">
        <v>0</v>
      </c>
      <c r="AE278" s="961">
        <v>0</v>
      </c>
      <c r="AF278" s="961">
        <v>0</v>
      </c>
      <c r="AG278" s="961">
        <v>0</v>
      </c>
      <c r="AH278" s="961">
        <v>0</v>
      </c>
      <c r="AI278" s="961">
        <v>0</v>
      </c>
      <c r="AJ278" s="961">
        <v>0</v>
      </c>
      <c r="AK278" s="961">
        <v>0</v>
      </c>
      <c r="AL278" s="961">
        <v>0</v>
      </c>
      <c r="AM278" s="961">
        <v>0</v>
      </c>
      <c r="AN278" s="961">
        <v>0</v>
      </c>
      <c r="AO278" s="961">
        <v>0</v>
      </c>
      <c r="AP278" s="961">
        <v>0</v>
      </c>
      <c r="AQ278" s="961">
        <v>0</v>
      </c>
      <c r="AR278" s="961">
        <v>0</v>
      </c>
      <c r="AS278" s="961">
        <v>0</v>
      </c>
      <c r="AT278" s="961">
        <v>0</v>
      </c>
      <c r="AU278" s="961">
        <v>0</v>
      </c>
      <c r="AV278" s="961">
        <v>0</v>
      </c>
      <c r="AW278" s="961">
        <v>0</v>
      </c>
      <c r="AX278" s="961">
        <v>0</v>
      </c>
      <c r="AY278" s="961">
        <v>0</v>
      </c>
      <c r="AZ278" s="961">
        <v>0</v>
      </c>
      <c r="BA278" s="961">
        <v>0</v>
      </c>
      <c r="BB278" s="961">
        <v>0</v>
      </c>
      <c r="BC278" s="961">
        <v>0</v>
      </c>
      <c r="BD278" s="961">
        <v>0</v>
      </c>
      <c r="BE278" s="961">
        <v>0</v>
      </c>
      <c r="BF278" s="961">
        <v>0</v>
      </c>
      <c r="BG278" s="961">
        <v>0</v>
      </c>
      <c r="BH278" s="961">
        <v>0</v>
      </c>
      <c r="BI278" s="961">
        <v>0</v>
      </c>
      <c r="BJ278" s="961">
        <v>0</v>
      </c>
      <c r="BK278" s="917"/>
      <c r="BL278" s="917"/>
    </row>
    <row r="279" spans="1:64" s="371" customFormat="1" x14ac:dyDescent="0.3">
      <c r="A279" s="949">
        <v>619</v>
      </c>
      <c r="B279" s="1017"/>
      <c r="C279" s="1003">
        <v>619</v>
      </c>
      <c r="D279" s="1004"/>
      <c r="E279" s="1004"/>
      <c r="F279" s="958"/>
      <c r="G279" s="959"/>
      <c r="H279" s="959"/>
      <c r="I279" s="959"/>
      <c r="J279" s="959"/>
      <c r="K279" s="959"/>
      <c r="L279" s="960"/>
      <c r="M279" s="961"/>
      <c r="N279" s="961"/>
      <c r="O279" s="962"/>
      <c r="P279" s="962"/>
      <c r="Q279" s="962"/>
      <c r="R279" s="962"/>
      <c r="S279" s="962"/>
      <c r="T279" s="962"/>
      <c r="U279" s="962"/>
      <c r="V279" s="962"/>
      <c r="W279" s="962"/>
      <c r="X279" s="962"/>
      <c r="Y279" s="962"/>
      <c r="Z279" s="962"/>
      <c r="AA279" s="962"/>
      <c r="AB279" s="962"/>
      <c r="AC279" s="962"/>
      <c r="AD279" s="961"/>
      <c r="AE279" s="961"/>
      <c r="AF279" s="961"/>
      <c r="AG279" s="961"/>
      <c r="AH279" s="961"/>
      <c r="AI279" s="961"/>
      <c r="AJ279" s="961"/>
      <c r="AK279" s="961"/>
      <c r="AL279" s="961"/>
      <c r="AM279" s="961"/>
      <c r="AN279" s="961"/>
      <c r="AO279" s="961"/>
      <c r="AP279" s="961"/>
      <c r="AQ279" s="961"/>
      <c r="AR279" s="961"/>
      <c r="AS279" s="961"/>
      <c r="AT279" s="961"/>
      <c r="AU279" s="961"/>
      <c r="AV279" s="961"/>
      <c r="AW279" s="961"/>
      <c r="AX279" s="961"/>
      <c r="AY279" s="961"/>
      <c r="AZ279" s="961"/>
      <c r="BA279" s="961"/>
      <c r="BB279" s="961"/>
      <c r="BC279" s="961"/>
      <c r="BD279" s="961"/>
      <c r="BE279" s="961"/>
      <c r="BF279" s="961"/>
      <c r="BG279" s="961"/>
      <c r="BH279" s="961"/>
      <c r="BI279" s="961"/>
      <c r="BJ279" s="961"/>
      <c r="BK279" s="917"/>
      <c r="BL279" s="917"/>
    </row>
    <row r="280" spans="1:64" s="371" customFormat="1" x14ac:dyDescent="0.3">
      <c r="A280" s="949">
        <v>620</v>
      </c>
      <c r="B280" s="1017"/>
      <c r="C280" s="1003">
        <v>620</v>
      </c>
      <c r="D280" s="1004"/>
      <c r="E280" s="1004"/>
      <c r="F280" s="958"/>
      <c r="G280" s="959"/>
      <c r="H280" s="959"/>
      <c r="I280" s="959"/>
      <c r="J280" s="959"/>
      <c r="K280" s="959"/>
      <c r="L280" s="960"/>
      <c r="M280" s="961"/>
      <c r="N280" s="961"/>
      <c r="O280" s="962"/>
      <c r="P280" s="962"/>
      <c r="Q280" s="962"/>
      <c r="R280" s="962"/>
      <c r="S280" s="962"/>
      <c r="T280" s="962"/>
      <c r="U280" s="962"/>
      <c r="V280" s="962"/>
      <c r="W280" s="962"/>
      <c r="X280" s="962"/>
      <c r="Y280" s="962"/>
      <c r="Z280" s="962"/>
      <c r="AA280" s="962"/>
      <c r="AB280" s="962"/>
      <c r="AC280" s="962"/>
      <c r="AD280" s="961"/>
      <c r="AE280" s="961"/>
      <c r="AF280" s="961"/>
      <c r="AG280" s="961"/>
      <c r="AH280" s="961"/>
      <c r="AI280" s="961"/>
      <c r="AJ280" s="961"/>
      <c r="AK280" s="961"/>
      <c r="AL280" s="961"/>
      <c r="AM280" s="961"/>
      <c r="AN280" s="961"/>
      <c r="AO280" s="961"/>
      <c r="AP280" s="961"/>
      <c r="AQ280" s="961"/>
      <c r="AR280" s="961"/>
      <c r="AS280" s="961"/>
      <c r="AT280" s="961"/>
      <c r="AU280" s="961"/>
      <c r="AV280" s="961"/>
      <c r="AW280" s="961"/>
      <c r="AX280" s="961"/>
      <c r="AY280" s="961"/>
      <c r="AZ280" s="961"/>
      <c r="BA280" s="961"/>
      <c r="BB280" s="961"/>
      <c r="BC280" s="961"/>
      <c r="BD280" s="961"/>
      <c r="BE280" s="961"/>
      <c r="BF280" s="961"/>
      <c r="BG280" s="961"/>
      <c r="BH280" s="961"/>
      <c r="BI280" s="961"/>
      <c r="BJ280" s="961"/>
      <c r="BK280" s="917"/>
      <c r="BL280" s="917"/>
    </row>
    <row r="281" spans="1:64" s="371" customFormat="1" x14ac:dyDescent="0.3">
      <c r="A281" s="949">
        <v>621</v>
      </c>
      <c r="B281" s="1017">
        <v>621</v>
      </c>
      <c r="C281" s="1006">
        <v>621</v>
      </c>
      <c r="D281" s="1007" t="s">
        <v>1158</v>
      </c>
      <c r="E281" s="1007"/>
      <c r="F281" s="958">
        <v>60537539</v>
      </c>
      <c r="G281" s="959">
        <v>112163956</v>
      </c>
      <c r="H281" s="959">
        <v>81729518</v>
      </c>
      <c r="I281" s="959">
        <v>34369253</v>
      </c>
      <c r="J281" s="959">
        <v>112292721</v>
      </c>
      <c r="K281" s="959">
        <v>47527815</v>
      </c>
      <c r="L281" s="960">
        <v>25585947</v>
      </c>
      <c r="M281" s="961">
        <v>33971673</v>
      </c>
      <c r="N281" s="961">
        <v>66438762</v>
      </c>
      <c r="O281" s="962">
        <v>20242046</v>
      </c>
      <c r="P281" s="962">
        <v>40269251</v>
      </c>
      <c r="Q281" s="962">
        <v>138173080</v>
      </c>
      <c r="R281" s="962">
        <v>62702296</v>
      </c>
      <c r="S281" s="962">
        <v>17509058</v>
      </c>
      <c r="T281" s="962">
        <v>1569930</v>
      </c>
      <c r="U281" s="962">
        <v>145364768</v>
      </c>
      <c r="V281" s="962">
        <v>302393398</v>
      </c>
      <c r="W281" s="962">
        <v>34736358</v>
      </c>
      <c r="X281" s="962">
        <v>19777685</v>
      </c>
      <c r="Y281" s="962">
        <v>265038752</v>
      </c>
      <c r="Z281" s="962">
        <v>95720788</v>
      </c>
      <c r="AA281" s="962">
        <v>17482789</v>
      </c>
      <c r="AB281" s="962">
        <v>93128113</v>
      </c>
      <c r="AC281" s="962">
        <v>19584400</v>
      </c>
      <c r="AD281" s="961">
        <v>52738082</v>
      </c>
      <c r="AE281" s="961">
        <v>255933196</v>
      </c>
      <c r="AF281" s="961">
        <v>27365871</v>
      </c>
      <c r="AG281" s="961">
        <v>165982005</v>
      </c>
      <c r="AH281" s="961">
        <v>72121857</v>
      </c>
      <c r="AI281" s="961">
        <v>3027131</v>
      </c>
      <c r="AJ281" s="961">
        <v>225729260</v>
      </c>
      <c r="AK281" s="961">
        <v>110197980</v>
      </c>
      <c r="AL281" s="961">
        <v>198371446</v>
      </c>
      <c r="AM281" s="961">
        <v>89175142</v>
      </c>
      <c r="AN281" s="961">
        <v>82489853</v>
      </c>
      <c r="AO281" s="961">
        <v>63900498</v>
      </c>
      <c r="AP281" s="961">
        <v>79981458</v>
      </c>
      <c r="AQ281" s="961">
        <v>61551753</v>
      </c>
      <c r="AR281" s="961">
        <v>80832601</v>
      </c>
      <c r="AS281" s="961">
        <v>24653104</v>
      </c>
      <c r="AT281" s="961">
        <v>28605144</v>
      </c>
      <c r="AU281" s="961">
        <v>41509900</v>
      </c>
      <c r="AV281" s="961">
        <v>8852932</v>
      </c>
      <c r="AW281" s="961">
        <v>434277197</v>
      </c>
      <c r="AX281" s="961">
        <v>55327794</v>
      </c>
      <c r="AY281" s="961">
        <v>1855820546</v>
      </c>
      <c r="AZ281" s="961">
        <v>21873914</v>
      </c>
      <c r="BA281" s="961">
        <v>14952901</v>
      </c>
      <c r="BB281" s="961">
        <v>57175779</v>
      </c>
      <c r="BC281" s="961">
        <v>177681503</v>
      </c>
      <c r="BD281" s="961">
        <v>9966537</v>
      </c>
      <c r="BE281" s="961">
        <v>22854343</v>
      </c>
      <c r="BF281" s="961">
        <v>99075013</v>
      </c>
      <c r="BG281" s="961">
        <v>110491491</v>
      </c>
      <c r="BH281" s="961">
        <v>569657981</v>
      </c>
      <c r="BI281" s="961">
        <v>56297677</v>
      </c>
      <c r="BJ281" s="961">
        <v>24832570</v>
      </c>
      <c r="BK281" s="915"/>
      <c r="BL281" s="915"/>
    </row>
    <row r="282" spans="1:64" s="371" customFormat="1" x14ac:dyDescent="0.3">
      <c r="A282" s="949">
        <v>622</v>
      </c>
      <c r="B282" s="1017">
        <v>622</v>
      </c>
      <c r="C282" s="1003">
        <v>622</v>
      </c>
      <c r="D282" s="1004" t="s">
        <v>438</v>
      </c>
      <c r="E282" s="1004"/>
      <c r="F282" s="958">
        <v>22385370</v>
      </c>
      <c r="G282" s="959">
        <v>41353791</v>
      </c>
      <c r="H282" s="959">
        <v>30772238</v>
      </c>
      <c r="I282" s="959">
        <v>12821852</v>
      </c>
      <c r="J282" s="959">
        <v>41845185</v>
      </c>
      <c r="K282" s="959">
        <v>17390570</v>
      </c>
      <c r="L282" s="960">
        <v>9597729</v>
      </c>
      <c r="M282" s="961">
        <v>13024008</v>
      </c>
      <c r="N282" s="961">
        <v>25272568</v>
      </c>
      <c r="O282" s="962">
        <v>7542998</v>
      </c>
      <c r="P282" s="962">
        <v>15241500</v>
      </c>
      <c r="Q282" s="962">
        <v>51961262</v>
      </c>
      <c r="R282" s="962">
        <v>23906203</v>
      </c>
      <c r="S282" s="962">
        <v>6625522</v>
      </c>
      <c r="T282" s="962">
        <v>617871</v>
      </c>
      <c r="U282" s="962">
        <v>54152837</v>
      </c>
      <c r="V282" s="962">
        <v>113436280</v>
      </c>
      <c r="W282" s="962">
        <v>12900641</v>
      </c>
      <c r="X282" s="962">
        <v>7598979</v>
      </c>
      <c r="Y282" s="962">
        <v>98690321</v>
      </c>
      <c r="Z282" s="962">
        <v>35043425</v>
      </c>
      <c r="AA282" s="962">
        <v>6548806</v>
      </c>
      <c r="AB282" s="962">
        <v>34674361</v>
      </c>
      <c r="AC282" s="962">
        <v>7197778</v>
      </c>
      <c r="AD282" s="961">
        <v>19435971</v>
      </c>
      <c r="AE282" s="961">
        <v>95411252</v>
      </c>
      <c r="AF282" s="961">
        <v>10310975</v>
      </c>
      <c r="AG282" s="961">
        <v>61737294</v>
      </c>
      <c r="AH282" s="961">
        <v>26881520</v>
      </c>
      <c r="AI282" s="961">
        <v>11391212</v>
      </c>
      <c r="AJ282" s="961">
        <v>85670459</v>
      </c>
      <c r="AK282" s="961">
        <v>41242865</v>
      </c>
      <c r="AL282" s="961">
        <v>73794073</v>
      </c>
      <c r="AM282" s="961">
        <v>33931050</v>
      </c>
      <c r="AN282" s="961">
        <v>31260522</v>
      </c>
      <c r="AO282" s="961">
        <v>24442175</v>
      </c>
      <c r="AP282" s="961">
        <v>29839212</v>
      </c>
      <c r="AQ282" s="961">
        <v>22910975</v>
      </c>
      <c r="AR282" s="961">
        <v>30314019</v>
      </c>
      <c r="AS282" s="961">
        <v>9163353</v>
      </c>
      <c r="AT282" s="961">
        <v>10795112</v>
      </c>
      <c r="AU282" s="961">
        <v>15418775</v>
      </c>
      <c r="AV282" s="961">
        <v>3451160</v>
      </c>
      <c r="AW282" s="961">
        <v>164023920</v>
      </c>
      <c r="AX282" s="961">
        <v>21377702</v>
      </c>
      <c r="AY282" s="961">
        <v>691000187</v>
      </c>
      <c r="AZ282" s="961">
        <v>8130804</v>
      </c>
      <c r="BA282" s="961">
        <v>5860441</v>
      </c>
      <c r="BB282" s="961">
        <v>21426427</v>
      </c>
      <c r="BC282" s="961">
        <v>67074212</v>
      </c>
      <c r="BD282" s="961">
        <v>3788086</v>
      </c>
      <c r="BE282" s="961">
        <v>8730014</v>
      </c>
      <c r="BF282" s="961">
        <v>37292018</v>
      </c>
      <c r="BG282" s="961">
        <v>41454351</v>
      </c>
      <c r="BH282" s="961">
        <v>213912827</v>
      </c>
      <c r="BI282" s="961">
        <v>20993088</v>
      </c>
      <c r="BJ282" s="961">
        <v>9341665</v>
      </c>
      <c r="BK282" s="915"/>
      <c r="BL282" s="915"/>
    </row>
    <row r="283" spans="1:64" s="371" customFormat="1" x14ac:dyDescent="0.3">
      <c r="A283" s="949">
        <v>624</v>
      </c>
      <c r="B283" s="1017"/>
      <c r="C283" s="1003">
        <v>624</v>
      </c>
      <c r="D283" s="1004"/>
      <c r="E283" s="1004"/>
      <c r="F283" s="958"/>
      <c r="G283" s="959"/>
      <c r="H283" s="959"/>
      <c r="I283" s="959"/>
      <c r="J283" s="959"/>
      <c r="K283" s="959"/>
      <c r="L283" s="960"/>
      <c r="M283" s="961"/>
      <c r="N283" s="961"/>
      <c r="O283" s="962"/>
      <c r="P283" s="962"/>
      <c r="Q283" s="962"/>
      <c r="R283" s="962"/>
      <c r="S283" s="962"/>
      <c r="T283" s="962"/>
      <c r="U283" s="962"/>
      <c r="V283" s="962"/>
      <c r="W283" s="962"/>
      <c r="X283" s="962"/>
      <c r="Y283" s="962"/>
      <c r="Z283" s="962"/>
      <c r="AA283" s="962"/>
      <c r="AB283" s="962"/>
      <c r="AC283" s="962"/>
      <c r="AD283" s="961"/>
      <c r="AE283" s="961"/>
      <c r="AF283" s="961"/>
      <c r="AG283" s="961"/>
      <c r="AH283" s="961"/>
      <c r="AI283" s="961"/>
      <c r="AJ283" s="961"/>
      <c r="AK283" s="961"/>
      <c r="AL283" s="961"/>
      <c r="AM283" s="961"/>
      <c r="AN283" s="961"/>
      <c r="AO283" s="961"/>
      <c r="AP283" s="961"/>
      <c r="AQ283" s="961"/>
      <c r="AR283" s="961"/>
      <c r="AS283" s="961"/>
      <c r="AT283" s="961"/>
      <c r="AU283" s="961"/>
      <c r="AV283" s="961"/>
      <c r="AW283" s="961"/>
      <c r="AX283" s="961"/>
      <c r="AY283" s="961"/>
      <c r="AZ283" s="961"/>
      <c r="BA283" s="961"/>
      <c r="BB283" s="961"/>
      <c r="BC283" s="961"/>
      <c r="BD283" s="961"/>
      <c r="BE283" s="961"/>
      <c r="BF283" s="961"/>
      <c r="BG283" s="961"/>
      <c r="BH283" s="961"/>
      <c r="BI283" s="961"/>
      <c r="BJ283" s="961"/>
      <c r="BK283" s="915"/>
      <c r="BL283" s="915"/>
    </row>
    <row r="284" spans="1:64" s="371" customFormat="1" ht="100.8" x14ac:dyDescent="0.3">
      <c r="A284" s="949">
        <v>625</v>
      </c>
      <c r="B284" s="1017"/>
      <c r="C284" s="1003">
        <v>625</v>
      </c>
      <c r="D284" s="1004" t="s">
        <v>502</v>
      </c>
      <c r="E284" s="1004"/>
      <c r="F284" s="958">
        <v>0</v>
      </c>
      <c r="G284" s="959">
        <v>0</v>
      </c>
      <c r="H284" s="959">
        <v>0</v>
      </c>
      <c r="I284" s="959">
        <v>0</v>
      </c>
      <c r="J284" s="959">
        <v>0</v>
      </c>
      <c r="K284" s="959">
        <v>0</v>
      </c>
      <c r="L284" s="960">
        <v>0</v>
      </c>
      <c r="M284" s="961">
        <v>0</v>
      </c>
      <c r="N284" s="961">
        <v>0</v>
      </c>
      <c r="O284" s="962">
        <v>0</v>
      </c>
      <c r="P284" s="962">
        <v>0</v>
      </c>
      <c r="Q284" s="962">
        <v>0</v>
      </c>
      <c r="R284" s="962">
        <v>0</v>
      </c>
      <c r="S284" s="962">
        <v>0</v>
      </c>
      <c r="T284" s="962">
        <v>0</v>
      </c>
      <c r="U284" s="962">
        <v>0</v>
      </c>
      <c r="V284" s="962">
        <v>0</v>
      </c>
      <c r="W284" s="962">
        <v>0</v>
      </c>
      <c r="X284" s="962">
        <v>0</v>
      </c>
      <c r="Y284" s="962">
        <v>0</v>
      </c>
      <c r="Z284" s="962">
        <v>0</v>
      </c>
      <c r="AA284" s="962">
        <v>0</v>
      </c>
      <c r="AB284" s="962">
        <v>0</v>
      </c>
      <c r="AC284" s="962">
        <v>0</v>
      </c>
      <c r="AD284" s="961">
        <v>0</v>
      </c>
      <c r="AE284" s="961">
        <v>0</v>
      </c>
      <c r="AF284" s="961">
        <v>0</v>
      </c>
      <c r="AG284" s="961">
        <v>0</v>
      </c>
      <c r="AH284" s="961">
        <v>0</v>
      </c>
      <c r="AI284" s="961">
        <v>0</v>
      </c>
      <c r="AJ284" s="961">
        <v>0</v>
      </c>
      <c r="AK284" s="961">
        <v>0</v>
      </c>
      <c r="AL284" s="961">
        <v>0</v>
      </c>
      <c r="AM284" s="961">
        <v>0</v>
      </c>
      <c r="AN284" s="961">
        <v>0</v>
      </c>
      <c r="AO284" s="961">
        <v>0</v>
      </c>
      <c r="AP284" s="961">
        <v>0</v>
      </c>
      <c r="AQ284" s="961">
        <v>0</v>
      </c>
      <c r="AR284" s="961">
        <v>0</v>
      </c>
      <c r="AS284" s="961">
        <v>0</v>
      </c>
      <c r="AT284" s="961">
        <v>0</v>
      </c>
      <c r="AU284" s="961">
        <v>0</v>
      </c>
      <c r="AV284" s="961">
        <v>0</v>
      </c>
      <c r="AW284" s="961">
        <v>0</v>
      </c>
      <c r="AX284" s="961">
        <v>0</v>
      </c>
      <c r="AY284" s="961">
        <v>0</v>
      </c>
      <c r="AZ284" s="961">
        <v>0</v>
      </c>
      <c r="BA284" s="961">
        <v>0</v>
      </c>
      <c r="BB284" s="961">
        <v>0</v>
      </c>
      <c r="BC284" s="961">
        <v>0</v>
      </c>
      <c r="BD284" s="961">
        <v>0</v>
      </c>
      <c r="BE284" s="961">
        <v>0</v>
      </c>
      <c r="BF284" s="961">
        <v>0</v>
      </c>
      <c r="BG284" s="961">
        <v>0</v>
      </c>
      <c r="BH284" s="961">
        <v>0</v>
      </c>
      <c r="BI284" s="961">
        <v>0</v>
      </c>
      <c r="BJ284" s="961">
        <v>0</v>
      </c>
      <c r="BK284" s="915"/>
      <c r="BL284" s="915"/>
    </row>
    <row r="285" spans="1:64" s="371" customFormat="1" ht="28.8" x14ac:dyDescent="0.3">
      <c r="A285" s="949">
        <v>626</v>
      </c>
      <c r="B285" s="1017">
        <v>626</v>
      </c>
      <c r="C285" s="1003">
        <v>626</v>
      </c>
      <c r="D285" s="1004" t="s">
        <v>453</v>
      </c>
      <c r="E285" s="1004"/>
      <c r="F285" s="958">
        <v>266749</v>
      </c>
      <c r="G285" s="959">
        <v>6608897</v>
      </c>
      <c r="H285" s="959">
        <v>6829025</v>
      </c>
      <c r="I285" s="959">
        <v>1230527</v>
      </c>
      <c r="J285" s="959">
        <v>6342546</v>
      </c>
      <c r="K285" s="959">
        <v>1523209</v>
      </c>
      <c r="L285" s="960">
        <v>1965976</v>
      </c>
      <c r="M285" s="961">
        <v>1696229</v>
      </c>
      <c r="N285" s="961">
        <v>4721612</v>
      </c>
      <c r="O285" s="962">
        <v>1469678</v>
      </c>
      <c r="P285" s="962">
        <v>1609372</v>
      </c>
      <c r="Q285" s="962">
        <v>6634808</v>
      </c>
      <c r="R285" s="962">
        <v>5661635</v>
      </c>
      <c r="S285" s="962">
        <v>577523</v>
      </c>
      <c r="T285" s="962">
        <v>0</v>
      </c>
      <c r="U285" s="962">
        <v>14712100</v>
      </c>
      <c r="V285" s="962">
        <v>28328962</v>
      </c>
      <c r="W285" s="962">
        <v>2127524</v>
      </c>
      <c r="X285" s="962">
        <v>1833471</v>
      </c>
      <c r="Y285" s="962">
        <v>10283108</v>
      </c>
      <c r="Z285" s="962">
        <v>7882715</v>
      </c>
      <c r="AA285" s="962">
        <v>1237455</v>
      </c>
      <c r="AB285" s="962">
        <v>4202275</v>
      </c>
      <c r="AC285" s="962">
        <v>1354885</v>
      </c>
      <c r="AD285" s="961">
        <v>2784924</v>
      </c>
      <c r="AE285" s="961">
        <v>11361726</v>
      </c>
      <c r="AF285" s="961">
        <v>1871108</v>
      </c>
      <c r="AG285" s="961">
        <v>12753610</v>
      </c>
      <c r="AH285" s="961">
        <v>6436265</v>
      </c>
      <c r="AI285" s="961">
        <v>2005013</v>
      </c>
      <c r="AJ285" s="961">
        <v>11542308</v>
      </c>
      <c r="AK285" s="961">
        <v>8522942</v>
      </c>
      <c r="AL285" s="961">
        <v>11240520</v>
      </c>
      <c r="AM285" s="961">
        <v>3464230</v>
      </c>
      <c r="AN285" s="961">
        <v>6138337</v>
      </c>
      <c r="AO285" s="961">
        <v>7012036</v>
      </c>
      <c r="AP285" s="961">
        <v>4478330</v>
      </c>
      <c r="AQ285" s="961">
        <v>3196151</v>
      </c>
      <c r="AR285" s="961">
        <v>6889382</v>
      </c>
      <c r="AS285" s="961">
        <v>1498526</v>
      </c>
      <c r="AT285" s="961">
        <v>1867352</v>
      </c>
      <c r="AU285" s="961">
        <v>3009994</v>
      </c>
      <c r="AV285" s="961">
        <v>578765</v>
      </c>
      <c r="AW285" s="961">
        <v>36011137</v>
      </c>
      <c r="AX285" s="961">
        <v>3410445</v>
      </c>
      <c r="AY285" s="961">
        <v>82740693</v>
      </c>
      <c r="AZ285" s="961">
        <v>1011078</v>
      </c>
      <c r="BA285" s="961">
        <v>1257643</v>
      </c>
      <c r="BB285" s="961">
        <v>3405286</v>
      </c>
      <c r="BC285" s="961">
        <v>18578111</v>
      </c>
      <c r="BD285" s="961">
        <v>718228</v>
      </c>
      <c r="BE285" s="961">
        <v>1067914</v>
      </c>
      <c r="BF285" s="961">
        <v>7202958</v>
      </c>
      <c r="BG285" s="961">
        <v>7196246</v>
      </c>
      <c r="BH285" s="961">
        <v>37989468</v>
      </c>
      <c r="BI285" s="961">
        <v>3596883</v>
      </c>
      <c r="BJ285" s="961">
        <v>1396575</v>
      </c>
      <c r="BK285" s="915"/>
      <c r="BL285" s="915"/>
    </row>
    <row r="286" spans="1:64" s="371" customFormat="1" x14ac:dyDescent="0.3">
      <c r="A286" s="949">
        <v>627</v>
      </c>
      <c r="B286" s="1017">
        <v>627</v>
      </c>
      <c r="C286" s="949">
        <v>627</v>
      </c>
      <c r="D286" s="952" t="s">
        <v>445</v>
      </c>
      <c r="E286" s="947"/>
      <c r="F286" s="958">
        <v>0</v>
      </c>
      <c r="G286" s="959">
        <v>0</v>
      </c>
      <c r="H286" s="959">
        <v>0</v>
      </c>
      <c r="I286" s="959">
        <v>0</v>
      </c>
      <c r="J286" s="959">
        <v>0</v>
      </c>
      <c r="K286" s="959">
        <v>0</v>
      </c>
      <c r="L286" s="960">
        <v>0</v>
      </c>
      <c r="M286" s="961">
        <v>0</v>
      </c>
      <c r="N286" s="961">
        <v>0</v>
      </c>
      <c r="O286" s="962">
        <v>0</v>
      </c>
      <c r="P286" s="962">
        <v>0</v>
      </c>
      <c r="Q286" s="962">
        <v>0</v>
      </c>
      <c r="R286" s="962">
        <v>0</v>
      </c>
      <c r="S286" s="962">
        <v>0</v>
      </c>
      <c r="T286" s="962">
        <v>0</v>
      </c>
      <c r="U286" s="962">
        <v>0</v>
      </c>
      <c r="V286" s="962">
        <v>0</v>
      </c>
      <c r="W286" s="962">
        <v>0</v>
      </c>
      <c r="X286" s="962">
        <v>0</v>
      </c>
      <c r="Y286" s="962">
        <v>0</v>
      </c>
      <c r="Z286" s="962">
        <v>0</v>
      </c>
      <c r="AA286" s="962">
        <v>0</v>
      </c>
      <c r="AB286" s="962">
        <v>0</v>
      </c>
      <c r="AC286" s="962">
        <v>0</v>
      </c>
      <c r="AD286" s="961">
        <v>0</v>
      </c>
      <c r="AE286" s="961">
        <v>0</v>
      </c>
      <c r="AF286" s="961">
        <v>0</v>
      </c>
      <c r="AG286" s="961">
        <v>0</v>
      </c>
      <c r="AH286" s="961">
        <v>0</v>
      </c>
      <c r="AI286" s="961">
        <v>0</v>
      </c>
      <c r="AJ286" s="961">
        <v>0</v>
      </c>
      <c r="AK286" s="961">
        <v>0</v>
      </c>
      <c r="AL286" s="961">
        <v>0</v>
      </c>
      <c r="AM286" s="961">
        <v>0</v>
      </c>
      <c r="AN286" s="961">
        <v>0</v>
      </c>
      <c r="AO286" s="961">
        <v>0</v>
      </c>
      <c r="AP286" s="961">
        <v>0</v>
      </c>
      <c r="AQ286" s="961">
        <v>0</v>
      </c>
      <c r="AR286" s="961">
        <v>0</v>
      </c>
      <c r="AS286" s="961">
        <v>0</v>
      </c>
      <c r="AT286" s="961">
        <v>0</v>
      </c>
      <c r="AU286" s="961">
        <v>0</v>
      </c>
      <c r="AV286" s="961">
        <v>0</v>
      </c>
      <c r="AW286" s="961">
        <v>0</v>
      </c>
      <c r="AX286" s="961">
        <v>0</v>
      </c>
      <c r="AY286" s="961">
        <v>0</v>
      </c>
      <c r="AZ286" s="961">
        <v>0</v>
      </c>
      <c r="BA286" s="961">
        <v>0</v>
      </c>
      <c r="BB286" s="961">
        <v>0</v>
      </c>
      <c r="BC286" s="961">
        <v>0</v>
      </c>
      <c r="BD286" s="961">
        <v>0</v>
      </c>
      <c r="BE286" s="961">
        <v>0</v>
      </c>
      <c r="BF286" s="961">
        <v>0</v>
      </c>
      <c r="BG286" s="961">
        <v>0</v>
      </c>
      <c r="BH286" s="961">
        <v>0</v>
      </c>
      <c r="BI286" s="961">
        <v>0</v>
      </c>
      <c r="BJ286" s="961">
        <v>0</v>
      </c>
      <c r="BK286" s="915"/>
      <c r="BL286" s="915"/>
    </row>
    <row r="287" spans="1:64" s="371" customFormat="1" x14ac:dyDescent="0.3">
      <c r="A287" s="949">
        <v>628</v>
      </c>
      <c r="B287" s="1017">
        <v>628</v>
      </c>
      <c r="C287" s="949">
        <v>628</v>
      </c>
      <c r="D287" s="952" t="s">
        <v>450</v>
      </c>
      <c r="E287" s="947"/>
      <c r="F287" s="958">
        <v>0</v>
      </c>
      <c r="G287" s="959">
        <v>2617057</v>
      </c>
      <c r="H287" s="959">
        <v>3500000</v>
      </c>
      <c r="I287" s="959">
        <v>0</v>
      </c>
      <c r="J287" s="959">
        <v>0</v>
      </c>
      <c r="K287" s="959">
        <v>1284152</v>
      </c>
      <c r="L287" s="960">
        <v>720018</v>
      </c>
      <c r="M287" s="961">
        <v>0</v>
      </c>
      <c r="N287" s="961">
        <v>2600000</v>
      </c>
      <c r="O287" s="962">
        <v>0</v>
      </c>
      <c r="P287" s="962">
        <v>1004884</v>
      </c>
      <c r="Q287" s="962">
        <v>3075858</v>
      </c>
      <c r="R287" s="962">
        <v>1209539</v>
      </c>
      <c r="S287" s="962">
        <v>0</v>
      </c>
      <c r="T287" s="962">
        <v>0</v>
      </c>
      <c r="U287" s="962">
        <v>5558158</v>
      </c>
      <c r="V287" s="962">
        <v>8080515</v>
      </c>
      <c r="W287" s="962">
        <v>921376</v>
      </c>
      <c r="X287" s="962">
        <v>777612</v>
      </c>
      <c r="Y287" s="962">
        <v>5465813</v>
      </c>
      <c r="Z287" s="962">
        <v>1780255</v>
      </c>
      <c r="AA287" s="962">
        <v>566288</v>
      </c>
      <c r="AB287" s="962">
        <v>1248837</v>
      </c>
      <c r="AC287" s="962">
        <v>661678</v>
      </c>
      <c r="AD287" s="961">
        <v>941811</v>
      </c>
      <c r="AE287" s="961">
        <v>3219424</v>
      </c>
      <c r="AF287" s="961">
        <v>836888</v>
      </c>
      <c r="AG287" s="961">
        <v>4429260</v>
      </c>
      <c r="AH287" s="961">
        <v>3105939</v>
      </c>
      <c r="AI287" s="961">
        <v>1152061</v>
      </c>
      <c r="AJ287" s="961">
        <v>0</v>
      </c>
      <c r="AK287" s="961">
        <v>2563758</v>
      </c>
      <c r="AL287" s="961">
        <v>4427391</v>
      </c>
      <c r="AM287" s="961">
        <v>0</v>
      </c>
      <c r="AN287" s="961">
        <v>2391756</v>
      </c>
      <c r="AO287" s="961">
        <v>0</v>
      </c>
      <c r="AP287" s="961">
        <v>2297379</v>
      </c>
      <c r="AQ287" s="961">
        <v>0</v>
      </c>
      <c r="AR287" s="961">
        <v>2266171</v>
      </c>
      <c r="AS287" s="961">
        <v>830500</v>
      </c>
      <c r="AT287" s="961">
        <v>728598</v>
      </c>
      <c r="AU287" s="961">
        <v>1309718</v>
      </c>
      <c r="AV287" s="961">
        <v>294259</v>
      </c>
      <c r="AW287" s="961">
        <v>10923177</v>
      </c>
      <c r="AX287" s="961">
        <v>1688687</v>
      </c>
      <c r="AY287" s="961">
        <v>65000</v>
      </c>
      <c r="AZ287" s="961">
        <v>642028</v>
      </c>
      <c r="BA287" s="961">
        <v>283684</v>
      </c>
      <c r="BB287" s="961">
        <v>1237592</v>
      </c>
      <c r="BC287" s="961">
        <v>5643359</v>
      </c>
      <c r="BD287" s="961">
        <v>402927</v>
      </c>
      <c r="BE287" s="961">
        <v>96878</v>
      </c>
      <c r="BF287" s="961">
        <v>3818220</v>
      </c>
      <c r="BG287" s="961">
        <v>3036923</v>
      </c>
      <c r="BH287" s="961">
        <v>0</v>
      </c>
      <c r="BI287" s="961">
        <v>1577128</v>
      </c>
      <c r="BJ287" s="961">
        <v>993265</v>
      </c>
      <c r="BK287" s="915"/>
      <c r="BL287" s="915"/>
    </row>
    <row r="288" spans="1:64" s="371" customFormat="1" x14ac:dyDescent="0.3">
      <c r="A288" s="949">
        <v>629</v>
      </c>
      <c r="B288" s="1017">
        <v>629</v>
      </c>
      <c r="C288" s="949">
        <v>629</v>
      </c>
      <c r="D288" s="952" t="s">
        <v>449</v>
      </c>
      <c r="E288" s="947"/>
      <c r="F288" s="958">
        <v>0</v>
      </c>
      <c r="G288" s="959">
        <v>0</v>
      </c>
      <c r="H288" s="959">
        <v>0</v>
      </c>
      <c r="I288" s="959">
        <v>0</v>
      </c>
      <c r="J288" s="959">
        <v>0</v>
      </c>
      <c r="K288" s="959">
        <v>0</v>
      </c>
      <c r="L288" s="960">
        <v>0</v>
      </c>
      <c r="M288" s="961">
        <v>0</v>
      </c>
      <c r="N288" s="961">
        <v>0</v>
      </c>
      <c r="O288" s="962">
        <v>0</v>
      </c>
      <c r="P288" s="962">
        <v>0</v>
      </c>
      <c r="Q288" s="962">
        <v>0</v>
      </c>
      <c r="R288" s="962">
        <v>0</v>
      </c>
      <c r="S288" s="962">
        <v>0</v>
      </c>
      <c r="T288" s="962">
        <v>0</v>
      </c>
      <c r="U288" s="962">
        <v>0</v>
      </c>
      <c r="V288" s="962">
        <v>0</v>
      </c>
      <c r="W288" s="962">
        <v>0</v>
      </c>
      <c r="X288" s="962">
        <v>0</v>
      </c>
      <c r="Y288" s="962">
        <v>0</v>
      </c>
      <c r="Z288" s="962">
        <v>0</v>
      </c>
      <c r="AA288" s="962">
        <v>0</v>
      </c>
      <c r="AB288" s="962">
        <v>0</v>
      </c>
      <c r="AC288" s="962">
        <v>0</v>
      </c>
      <c r="AD288" s="961">
        <v>0</v>
      </c>
      <c r="AE288" s="961">
        <v>0</v>
      </c>
      <c r="AF288" s="961">
        <v>0</v>
      </c>
      <c r="AG288" s="961">
        <v>0</v>
      </c>
      <c r="AH288" s="961">
        <v>0</v>
      </c>
      <c r="AI288" s="961">
        <v>0</v>
      </c>
      <c r="AJ288" s="961">
        <v>0</v>
      </c>
      <c r="AK288" s="961">
        <v>0</v>
      </c>
      <c r="AL288" s="961">
        <v>0</v>
      </c>
      <c r="AM288" s="961">
        <v>0</v>
      </c>
      <c r="AN288" s="961">
        <v>0</v>
      </c>
      <c r="AO288" s="961">
        <v>1905733</v>
      </c>
      <c r="AP288" s="961">
        <v>0</v>
      </c>
      <c r="AQ288" s="961">
        <v>0</v>
      </c>
      <c r="AR288" s="961">
        <v>0</v>
      </c>
      <c r="AS288" s="961">
        <v>0</v>
      </c>
      <c r="AT288" s="961">
        <v>0</v>
      </c>
      <c r="AU288" s="961">
        <v>0</v>
      </c>
      <c r="AV288" s="961">
        <v>0</v>
      </c>
      <c r="AW288" s="961">
        <v>0</v>
      </c>
      <c r="AX288" s="961">
        <v>0</v>
      </c>
      <c r="AY288" s="961">
        <v>0</v>
      </c>
      <c r="AZ288" s="961">
        <v>0</v>
      </c>
      <c r="BA288" s="961">
        <v>0</v>
      </c>
      <c r="BB288" s="961">
        <v>0</v>
      </c>
      <c r="BC288" s="961">
        <v>0</v>
      </c>
      <c r="BD288" s="961">
        <v>0</v>
      </c>
      <c r="BE288" s="961">
        <v>0</v>
      </c>
      <c r="BF288" s="961">
        <v>0</v>
      </c>
      <c r="BG288" s="961">
        <v>0</v>
      </c>
      <c r="BH288" s="961">
        <v>0</v>
      </c>
      <c r="BI288" s="961">
        <v>0</v>
      </c>
      <c r="BJ288" s="961">
        <v>0</v>
      </c>
      <c r="BK288" s="915"/>
      <c r="BL288" s="915"/>
    </row>
    <row r="289" spans="1:64" s="371" customFormat="1" x14ac:dyDescent="0.3">
      <c r="A289" s="949">
        <v>630</v>
      </c>
      <c r="B289" s="1017">
        <v>630</v>
      </c>
      <c r="C289" s="949">
        <v>630</v>
      </c>
      <c r="D289" s="952" t="s">
        <v>448</v>
      </c>
      <c r="E289" s="947"/>
      <c r="F289" s="958">
        <v>0</v>
      </c>
      <c r="G289" s="959">
        <v>0</v>
      </c>
      <c r="H289" s="959">
        <v>0</v>
      </c>
      <c r="I289" s="959">
        <v>0</v>
      </c>
      <c r="J289" s="959">
        <v>0</v>
      </c>
      <c r="K289" s="959">
        <v>0</v>
      </c>
      <c r="L289" s="960">
        <v>0</v>
      </c>
      <c r="M289" s="961">
        <v>0</v>
      </c>
      <c r="N289" s="961">
        <v>0</v>
      </c>
      <c r="O289" s="962">
        <v>0</v>
      </c>
      <c r="P289" s="962">
        <v>0</v>
      </c>
      <c r="Q289" s="962">
        <v>0</v>
      </c>
      <c r="R289" s="962">
        <v>0</v>
      </c>
      <c r="S289" s="962">
        <v>0</v>
      </c>
      <c r="T289" s="962">
        <v>0</v>
      </c>
      <c r="U289" s="962">
        <v>0</v>
      </c>
      <c r="V289" s="962">
        <v>211502</v>
      </c>
      <c r="W289" s="962">
        <v>0</v>
      </c>
      <c r="X289" s="962">
        <v>0</v>
      </c>
      <c r="Y289" s="962">
        <v>0</v>
      </c>
      <c r="Z289" s="962">
        <v>0</v>
      </c>
      <c r="AA289" s="962">
        <v>0</v>
      </c>
      <c r="AB289" s="962">
        <v>0</v>
      </c>
      <c r="AC289" s="962">
        <v>0</v>
      </c>
      <c r="AD289" s="961">
        <v>0</v>
      </c>
      <c r="AE289" s="961">
        <v>0</v>
      </c>
      <c r="AF289" s="961">
        <v>0</v>
      </c>
      <c r="AG289" s="961">
        <v>0</v>
      </c>
      <c r="AH289" s="961">
        <v>0</v>
      </c>
      <c r="AI289" s="961">
        <v>0</v>
      </c>
      <c r="AJ289" s="961">
        <v>0</v>
      </c>
      <c r="AK289" s="961">
        <v>0</v>
      </c>
      <c r="AL289" s="961">
        <v>0</v>
      </c>
      <c r="AM289" s="961">
        <v>0</v>
      </c>
      <c r="AN289" s="961">
        <v>0</v>
      </c>
      <c r="AO289" s="961">
        <v>0</v>
      </c>
      <c r="AP289" s="961">
        <v>0</v>
      </c>
      <c r="AQ289" s="961">
        <v>0</v>
      </c>
      <c r="AR289" s="961">
        <v>0</v>
      </c>
      <c r="AS289" s="961">
        <v>23088</v>
      </c>
      <c r="AT289" s="961">
        <v>0</v>
      </c>
      <c r="AU289" s="961">
        <v>0</v>
      </c>
      <c r="AV289" s="961">
        <v>0</v>
      </c>
      <c r="AW289" s="961">
        <v>0</v>
      </c>
      <c r="AX289" s="961">
        <v>0</v>
      </c>
      <c r="AY289" s="961">
        <v>0</v>
      </c>
      <c r="AZ289" s="961">
        <v>0</v>
      </c>
      <c r="BA289" s="961">
        <v>0</v>
      </c>
      <c r="BB289" s="961">
        <v>0</v>
      </c>
      <c r="BC289" s="961">
        <v>0</v>
      </c>
      <c r="BD289" s="961">
        <v>0</v>
      </c>
      <c r="BE289" s="961">
        <v>0</v>
      </c>
      <c r="BF289" s="961">
        <v>0</v>
      </c>
      <c r="BG289" s="961">
        <v>0</v>
      </c>
      <c r="BH289" s="961">
        <v>0</v>
      </c>
      <c r="BI289" s="961">
        <v>0</v>
      </c>
      <c r="BJ289" s="961">
        <v>0</v>
      </c>
      <c r="BK289" s="915"/>
      <c r="BL289" s="915"/>
    </row>
    <row r="290" spans="1:64" s="371" customFormat="1" x14ac:dyDescent="0.3">
      <c r="A290" s="947">
        <v>631</v>
      </c>
      <c r="B290" s="1017">
        <v>631</v>
      </c>
      <c r="C290" s="947">
        <v>631</v>
      </c>
      <c r="D290" s="947" t="s">
        <v>447</v>
      </c>
      <c r="E290" s="947"/>
      <c r="F290" s="958">
        <v>0</v>
      </c>
      <c r="G290" s="959">
        <v>0</v>
      </c>
      <c r="H290" s="959">
        <v>0</v>
      </c>
      <c r="I290" s="959">
        <v>0</v>
      </c>
      <c r="J290" s="959">
        <v>0</v>
      </c>
      <c r="K290" s="959">
        <v>0</v>
      </c>
      <c r="L290" s="960">
        <v>0</v>
      </c>
      <c r="M290" s="961">
        <v>0</v>
      </c>
      <c r="N290" s="961">
        <v>0</v>
      </c>
      <c r="O290" s="962">
        <v>0</v>
      </c>
      <c r="P290" s="962">
        <v>0</v>
      </c>
      <c r="Q290" s="962">
        <v>0</v>
      </c>
      <c r="R290" s="962">
        <v>0</v>
      </c>
      <c r="S290" s="962">
        <v>0</v>
      </c>
      <c r="T290" s="962">
        <v>0</v>
      </c>
      <c r="U290" s="962">
        <v>0</v>
      </c>
      <c r="V290" s="962">
        <v>0</v>
      </c>
      <c r="W290" s="962">
        <v>0</v>
      </c>
      <c r="X290" s="962">
        <v>0</v>
      </c>
      <c r="Y290" s="962">
        <v>0</v>
      </c>
      <c r="Z290" s="962">
        <v>0</v>
      </c>
      <c r="AA290" s="962">
        <v>0</v>
      </c>
      <c r="AB290" s="962">
        <v>0</v>
      </c>
      <c r="AC290" s="962">
        <v>0</v>
      </c>
      <c r="AD290" s="961">
        <v>0</v>
      </c>
      <c r="AE290" s="961">
        <v>0</v>
      </c>
      <c r="AF290" s="961">
        <v>0</v>
      </c>
      <c r="AG290" s="961">
        <v>0</v>
      </c>
      <c r="AH290" s="961">
        <v>0</v>
      </c>
      <c r="AI290" s="961">
        <v>0</v>
      </c>
      <c r="AJ290" s="961">
        <v>0</v>
      </c>
      <c r="AK290" s="961">
        <v>0</v>
      </c>
      <c r="AL290" s="961">
        <v>0</v>
      </c>
      <c r="AM290" s="961">
        <v>0</v>
      </c>
      <c r="AN290" s="961">
        <v>0</v>
      </c>
      <c r="AO290" s="961">
        <v>0</v>
      </c>
      <c r="AP290" s="961">
        <v>0</v>
      </c>
      <c r="AQ290" s="961">
        <v>0</v>
      </c>
      <c r="AR290" s="961">
        <v>0</v>
      </c>
      <c r="AS290" s="961">
        <v>0</v>
      </c>
      <c r="AT290" s="961">
        <v>0</v>
      </c>
      <c r="AU290" s="961">
        <v>0</v>
      </c>
      <c r="AV290" s="961">
        <v>0</v>
      </c>
      <c r="AW290" s="961">
        <v>0</v>
      </c>
      <c r="AX290" s="961">
        <v>0</v>
      </c>
      <c r="AY290" s="961">
        <v>0</v>
      </c>
      <c r="AZ290" s="961">
        <v>0</v>
      </c>
      <c r="BA290" s="961">
        <v>0</v>
      </c>
      <c r="BB290" s="961">
        <v>0</v>
      </c>
      <c r="BC290" s="961">
        <v>0</v>
      </c>
      <c r="BD290" s="961">
        <v>0</v>
      </c>
      <c r="BE290" s="961">
        <v>0</v>
      </c>
      <c r="BF290" s="961">
        <v>0</v>
      </c>
      <c r="BG290" s="961">
        <v>0</v>
      </c>
      <c r="BH290" s="961">
        <v>0</v>
      </c>
      <c r="BI290" s="961">
        <v>0</v>
      </c>
      <c r="BJ290" s="961">
        <v>0</v>
      </c>
      <c r="BK290" s="915"/>
      <c r="BL290" s="915"/>
    </row>
    <row r="291" spans="1:64" s="371" customFormat="1" x14ac:dyDescent="0.3">
      <c r="A291" s="947">
        <v>632</v>
      </c>
      <c r="B291" s="1017"/>
      <c r="C291" s="947">
        <v>632</v>
      </c>
      <c r="D291" s="947" t="s">
        <v>446</v>
      </c>
      <c r="E291" s="947"/>
      <c r="F291" s="958">
        <v>0</v>
      </c>
      <c r="G291" s="959">
        <v>0</v>
      </c>
      <c r="H291" s="959">
        <v>0</v>
      </c>
      <c r="I291" s="959">
        <v>0</v>
      </c>
      <c r="J291" s="959">
        <v>0</v>
      </c>
      <c r="K291" s="959">
        <v>0</v>
      </c>
      <c r="L291" s="960">
        <v>0</v>
      </c>
      <c r="M291" s="961">
        <v>0</v>
      </c>
      <c r="N291" s="961">
        <v>0</v>
      </c>
      <c r="O291" s="962">
        <v>0</v>
      </c>
      <c r="P291" s="962">
        <v>0</v>
      </c>
      <c r="Q291" s="962">
        <v>0</v>
      </c>
      <c r="R291" s="962">
        <v>0</v>
      </c>
      <c r="S291" s="962">
        <v>0</v>
      </c>
      <c r="T291" s="962">
        <v>0</v>
      </c>
      <c r="U291" s="962">
        <v>0</v>
      </c>
      <c r="V291" s="962">
        <v>0</v>
      </c>
      <c r="W291" s="962">
        <v>0</v>
      </c>
      <c r="X291" s="962">
        <v>0</v>
      </c>
      <c r="Y291" s="962">
        <v>0</v>
      </c>
      <c r="Z291" s="962">
        <v>0</v>
      </c>
      <c r="AA291" s="962">
        <v>0</v>
      </c>
      <c r="AB291" s="962">
        <v>0</v>
      </c>
      <c r="AC291" s="962">
        <v>0</v>
      </c>
      <c r="AD291" s="961">
        <v>0</v>
      </c>
      <c r="AE291" s="961">
        <v>0</v>
      </c>
      <c r="AF291" s="961">
        <v>0</v>
      </c>
      <c r="AG291" s="961">
        <v>0</v>
      </c>
      <c r="AH291" s="961">
        <v>0</v>
      </c>
      <c r="AI291" s="961">
        <v>0</v>
      </c>
      <c r="AJ291" s="961">
        <v>0</v>
      </c>
      <c r="AK291" s="961">
        <v>0</v>
      </c>
      <c r="AL291" s="961">
        <v>0</v>
      </c>
      <c r="AM291" s="961">
        <v>0</v>
      </c>
      <c r="AN291" s="961">
        <v>0</v>
      </c>
      <c r="AO291" s="961">
        <v>0</v>
      </c>
      <c r="AP291" s="961">
        <v>0</v>
      </c>
      <c r="AQ291" s="961">
        <v>0</v>
      </c>
      <c r="AR291" s="961">
        <v>0</v>
      </c>
      <c r="AS291" s="961">
        <v>0</v>
      </c>
      <c r="AT291" s="961">
        <v>0</v>
      </c>
      <c r="AU291" s="961">
        <v>0</v>
      </c>
      <c r="AV291" s="961">
        <v>0</v>
      </c>
      <c r="AW291" s="961">
        <v>0</v>
      </c>
      <c r="AX291" s="961">
        <v>0</v>
      </c>
      <c r="AY291" s="961">
        <v>0</v>
      </c>
      <c r="AZ291" s="961">
        <v>0</v>
      </c>
      <c r="BA291" s="961">
        <v>0</v>
      </c>
      <c r="BB291" s="961">
        <v>0</v>
      </c>
      <c r="BC291" s="961">
        <v>0</v>
      </c>
      <c r="BD291" s="961">
        <v>0</v>
      </c>
      <c r="BE291" s="961">
        <v>0</v>
      </c>
      <c r="BF291" s="961">
        <v>0</v>
      </c>
      <c r="BG291" s="961">
        <v>0</v>
      </c>
      <c r="BH291" s="961">
        <v>0</v>
      </c>
      <c r="BI291" s="961">
        <v>0</v>
      </c>
      <c r="BJ291" s="961">
        <v>0</v>
      </c>
      <c r="BK291" s="915"/>
      <c r="BL291" s="915"/>
    </row>
    <row r="292" spans="1:64" s="371" customFormat="1" x14ac:dyDescent="0.3">
      <c r="A292" s="947">
        <v>633</v>
      </c>
      <c r="B292" s="1017"/>
      <c r="C292" s="947">
        <v>633</v>
      </c>
      <c r="D292" s="947" t="s">
        <v>454</v>
      </c>
      <c r="E292" s="947"/>
      <c r="F292" s="958">
        <v>0</v>
      </c>
      <c r="G292" s="959">
        <v>0</v>
      </c>
      <c r="H292" s="959">
        <v>0</v>
      </c>
      <c r="I292" s="959">
        <v>0</v>
      </c>
      <c r="J292" s="959">
        <v>0</v>
      </c>
      <c r="K292" s="959">
        <v>0</v>
      </c>
      <c r="L292" s="960">
        <v>0</v>
      </c>
      <c r="M292" s="961">
        <v>0</v>
      </c>
      <c r="N292" s="961">
        <v>0</v>
      </c>
      <c r="O292" s="962">
        <v>0</v>
      </c>
      <c r="P292" s="962">
        <v>0</v>
      </c>
      <c r="Q292" s="962">
        <v>0</v>
      </c>
      <c r="R292" s="962">
        <v>0</v>
      </c>
      <c r="S292" s="962">
        <v>0</v>
      </c>
      <c r="T292" s="962">
        <v>0</v>
      </c>
      <c r="U292" s="962">
        <v>0</v>
      </c>
      <c r="V292" s="962">
        <v>0</v>
      </c>
      <c r="W292" s="962">
        <v>0</v>
      </c>
      <c r="X292" s="962">
        <v>0</v>
      </c>
      <c r="Y292" s="962">
        <v>0</v>
      </c>
      <c r="Z292" s="962">
        <v>0</v>
      </c>
      <c r="AA292" s="962">
        <v>0</v>
      </c>
      <c r="AB292" s="962">
        <v>0</v>
      </c>
      <c r="AC292" s="962">
        <v>0</v>
      </c>
      <c r="AD292" s="961">
        <v>0</v>
      </c>
      <c r="AE292" s="961">
        <v>0</v>
      </c>
      <c r="AF292" s="961">
        <v>0</v>
      </c>
      <c r="AG292" s="961">
        <v>0</v>
      </c>
      <c r="AH292" s="961">
        <v>0</v>
      </c>
      <c r="AI292" s="961">
        <v>0</v>
      </c>
      <c r="AJ292" s="961">
        <v>0</v>
      </c>
      <c r="AK292" s="961">
        <v>0</v>
      </c>
      <c r="AL292" s="961">
        <v>0</v>
      </c>
      <c r="AM292" s="961">
        <v>0</v>
      </c>
      <c r="AN292" s="961">
        <v>0</v>
      </c>
      <c r="AO292" s="961">
        <v>0</v>
      </c>
      <c r="AP292" s="961">
        <v>0</v>
      </c>
      <c r="AQ292" s="961">
        <v>0</v>
      </c>
      <c r="AR292" s="961">
        <v>0</v>
      </c>
      <c r="AS292" s="961">
        <v>0</v>
      </c>
      <c r="AT292" s="961">
        <v>0</v>
      </c>
      <c r="AU292" s="961">
        <v>0</v>
      </c>
      <c r="AV292" s="961">
        <v>0</v>
      </c>
      <c r="AW292" s="961">
        <v>0</v>
      </c>
      <c r="AX292" s="961">
        <v>0</v>
      </c>
      <c r="AY292" s="961">
        <v>0</v>
      </c>
      <c r="AZ292" s="961">
        <v>0</v>
      </c>
      <c r="BA292" s="961">
        <v>0</v>
      </c>
      <c r="BB292" s="961">
        <v>0</v>
      </c>
      <c r="BC292" s="961">
        <v>0</v>
      </c>
      <c r="BD292" s="961">
        <v>0</v>
      </c>
      <c r="BE292" s="961">
        <v>0</v>
      </c>
      <c r="BF292" s="961">
        <v>0</v>
      </c>
      <c r="BG292" s="961">
        <v>0</v>
      </c>
      <c r="BH292" s="961">
        <v>0</v>
      </c>
      <c r="BI292" s="961">
        <v>0</v>
      </c>
      <c r="BJ292" s="961">
        <v>0</v>
      </c>
      <c r="BK292" s="915"/>
      <c r="BL292" s="915"/>
    </row>
    <row r="293" spans="1:64" s="371" customFormat="1" x14ac:dyDescent="0.3">
      <c r="A293" s="947">
        <v>634</v>
      </c>
      <c r="B293" s="1017"/>
      <c r="C293" s="947">
        <v>634</v>
      </c>
      <c r="D293" s="947" t="s">
        <v>455</v>
      </c>
      <c r="E293" s="947"/>
      <c r="F293" s="958">
        <v>0</v>
      </c>
      <c r="G293" s="959">
        <v>0</v>
      </c>
      <c r="H293" s="959">
        <v>0</v>
      </c>
      <c r="I293" s="959">
        <v>0</v>
      </c>
      <c r="J293" s="959">
        <v>0</v>
      </c>
      <c r="K293" s="959">
        <v>0</v>
      </c>
      <c r="L293" s="960">
        <v>0</v>
      </c>
      <c r="M293" s="961">
        <v>0</v>
      </c>
      <c r="N293" s="961">
        <v>0</v>
      </c>
      <c r="O293" s="962">
        <v>0</v>
      </c>
      <c r="P293" s="962">
        <v>0</v>
      </c>
      <c r="Q293" s="962">
        <v>0</v>
      </c>
      <c r="R293" s="962">
        <v>0</v>
      </c>
      <c r="S293" s="962">
        <v>0</v>
      </c>
      <c r="T293" s="962">
        <v>0</v>
      </c>
      <c r="U293" s="962">
        <v>0</v>
      </c>
      <c r="V293" s="962">
        <v>0</v>
      </c>
      <c r="W293" s="962">
        <v>0</v>
      </c>
      <c r="X293" s="962">
        <v>0</v>
      </c>
      <c r="Y293" s="962">
        <v>0</v>
      </c>
      <c r="Z293" s="962">
        <v>0</v>
      </c>
      <c r="AA293" s="962">
        <v>0</v>
      </c>
      <c r="AB293" s="962">
        <v>0</v>
      </c>
      <c r="AC293" s="962">
        <v>0</v>
      </c>
      <c r="AD293" s="961">
        <v>0</v>
      </c>
      <c r="AE293" s="961">
        <v>0</v>
      </c>
      <c r="AF293" s="961">
        <v>0</v>
      </c>
      <c r="AG293" s="961">
        <v>0</v>
      </c>
      <c r="AH293" s="961">
        <v>0</v>
      </c>
      <c r="AI293" s="961">
        <v>0</v>
      </c>
      <c r="AJ293" s="961">
        <v>0</v>
      </c>
      <c r="AK293" s="961">
        <v>0</v>
      </c>
      <c r="AL293" s="961">
        <v>0</v>
      </c>
      <c r="AM293" s="961">
        <v>0</v>
      </c>
      <c r="AN293" s="961">
        <v>0</v>
      </c>
      <c r="AO293" s="961">
        <v>0</v>
      </c>
      <c r="AP293" s="961">
        <v>0</v>
      </c>
      <c r="AQ293" s="961">
        <v>0</v>
      </c>
      <c r="AR293" s="961">
        <v>0</v>
      </c>
      <c r="AS293" s="961">
        <v>0</v>
      </c>
      <c r="AT293" s="961">
        <v>0</v>
      </c>
      <c r="AU293" s="961">
        <v>0</v>
      </c>
      <c r="AV293" s="961">
        <v>0</v>
      </c>
      <c r="AW293" s="961">
        <v>0</v>
      </c>
      <c r="AX293" s="961">
        <v>0</v>
      </c>
      <c r="AY293" s="961">
        <v>0</v>
      </c>
      <c r="AZ293" s="961">
        <v>0</v>
      </c>
      <c r="BA293" s="961">
        <v>0</v>
      </c>
      <c r="BB293" s="961">
        <v>0</v>
      </c>
      <c r="BC293" s="961">
        <v>0</v>
      </c>
      <c r="BD293" s="961">
        <v>0</v>
      </c>
      <c r="BE293" s="961">
        <v>0</v>
      </c>
      <c r="BF293" s="961">
        <v>0</v>
      </c>
      <c r="BG293" s="961">
        <v>0</v>
      </c>
      <c r="BH293" s="961">
        <v>0</v>
      </c>
      <c r="BI293" s="961">
        <v>0</v>
      </c>
      <c r="BJ293" s="961">
        <v>0</v>
      </c>
      <c r="BK293" s="915"/>
      <c r="BL293" s="915"/>
    </row>
    <row r="294" spans="1:64" s="371" customFormat="1" x14ac:dyDescent="0.3">
      <c r="A294" s="947">
        <v>635</v>
      </c>
      <c r="B294" s="1017"/>
      <c r="C294" s="947">
        <v>635</v>
      </c>
      <c r="D294" s="947" t="s">
        <v>456</v>
      </c>
      <c r="E294" s="947"/>
      <c r="F294" s="958">
        <v>0</v>
      </c>
      <c r="G294" s="959">
        <v>0</v>
      </c>
      <c r="H294" s="959">
        <v>0</v>
      </c>
      <c r="I294" s="959">
        <v>0</v>
      </c>
      <c r="J294" s="959">
        <v>0</v>
      </c>
      <c r="K294" s="959">
        <v>0</v>
      </c>
      <c r="L294" s="960">
        <v>0</v>
      </c>
      <c r="M294" s="961">
        <v>0</v>
      </c>
      <c r="N294" s="961">
        <v>0</v>
      </c>
      <c r="O294" s="962">
        <v>0</v>
      </c>
      <c r="P294" s="962">
        <v>0</v>
      </c>
      <c r="Q294" s="962">
        <v>0</v>
      </c>
      <c r="R294" s="962">
        <v>0</v>
      </c>
      <c r="S294" s="962">
        <v>0</v>
      </c>
      <c r="T294" s="962">
        <v>0</v>
      </c>
      <c r="U294" s="962">
        <v>0</v>
      </c>
      <c r="V294" s="962">
        <v>0</v>
      </c>
      <c r="W294" s="962">
        <v>0</v>
      </c>
      <c r="X294" s="962">
        <v>0</v>
      </c>
      <c r="Y294" s="962">
        <v>0</v>
      </c>
      <c r="Z294" s="962">
        <v>0</v>
      </c>
      <c r="AA294" s="962">
        <v>0</v>
      </c>
      <c r="AB294" s="962">
        <v>0</v>
      </c>
      <c r="AC294" s="962">
        <v>0</v>
      </c>
      <c r="AD294" s="961">
        <v>0</v>
      </c>
      <c r="AE294" s="961">
        <v>0</v>
      </c>
      <c r="AF294" s="961">
        <v>0</v>
      </c>
      <c r="AG294" s="961">
        <v>0</v>
      </c>
      <c r="AH294" s="961">
        <v>0</v>
      </c>
      <c r="AI294" s="961">
        <v>0</v>
      </c>
      <c r="AJ294" s="961">
        <v>0</v>
      </c>
      <c r="AK294" s="961">
        <v>0</v>
      </c>
      <c r="AL294" s="961">
        <v>0</v>
      </c>
      <c r="AM294" s="961">
        <v>0</v>
      </c>
      <c r="AN294" s="961">
        <v>0</v>
      </c>
      <c r="AO294" s="961">
        <v>0</v>
      </c>
      <c r="AP294" s="961">
        <v>0</v>
      </c>
      <c r="AQ294" s="961">
        <v>0</v>
      </c>
      <c r="AR294" s="961">
        <v>0</v>
      </c>
      <c r="AS294" s="961">
        <v>0</v>
      </c>
      <c r="AT294" s="961">
        <v>0</v>
      </c>
      <c r="AU294" s="961">
        <v>0</v>
      </c>
      <c r="AV294" s="961">
        <v>0</v>
      </c>
      <c r="AW294" s="961">
        <v>0</v>
      </c>
      <c r="AX294" s="961">
        <v>0</v>
      </c>
      <c r="AY294" s="961">
        <v>0</v>
      </c>
      <c r="AZ294" s="961">
        <v>0</v>
      </c>
      <c r="BA294" s="961">
        <v>0</v>
      </c>
      <c r="BB294" s="961">
        <v>0</v>
      </c>
      <c r="BC294" s="961">
        <v>0</v>
      </c>
      <c r="BD294" s="961">
        <v>0</v>
      </c>
      <c r="BE294" s="961">
        <v>0</v>
      </c>
      <c r="BF294" s="961">
        <v>0</v>
      </c>
      <c r="BG294" s="961">
        <v>0</v>
      </c>
      <c r="BH294" s="961">
        <v>0</v>
      </c>
      <c r="BI294" s="961">
        <v>0</v>
      </c>
      <c r="BJ294" s="961">
        <v>0</v>
      </c>
      <c r="BK294" s="915"/>
      <c r="BL294" s="915"/>
    </row>
    <row r="295" spans="1:64" s="371" customFormat="1" x14ac:dyDescent="0.3">
      <c r="A295" s="947">
        <v>636</v>
      </c>
      <c r="B295" s="1017"/>
      <c r="C295" s="947">
        <v>636</v>
      </c>
      <c r="D295" s="947" t="s">
        <v>451</v>
      </c>
      <c r="E295" s="947"/>
      <c r="F295" s="958">
        <v>0</v>
      </c>
      <c r="G295" s="959">
        <v>0</v>
      </c>
      <c r="H295" s="959">
        <v>0</v>
      </c>
      <c r="I295" s="959">
        <v>0</v>
      </c>
      <c r="J295" s="959">
        <v>0</v>
      </c>
      <c r="K295" s="959">
        <v>0</v>
      </c>
      <c r="L295" s="960">
        <v>0</v>
      </c>
      <c r="M295" s="961">
        <v>0</v>
      </c>
      <c r="N295" s="961">
        <v>0</v>
      </c>
      <c r="O295" s="962">
        <v>0</v>
      </c>
      <c r="P295" s="962">
        <v>0</v>
      </c>
      <c r="Q295" s="962">
        <v>0</v>
      </c>
      <c r="R295" s="962">
        <v>0</v>
      </c>
      <c r="S295" s="962">
        <v>0</v>
      </c>
      <c r="T295" s="962">
        <v>0</v>
      </c>
      <c r="U295" s="962">
        <v>0</v>
      </c>
      <c r="V295" s="962">
        <v>0</v>
      </c>
      <c r="W295" s="962">
        <v>0</v>
      </c>
      <c r="X295" s="962">
        <v>0</v>
      </c>
      <c r="Y295" s="962">
        <v>0</v>
      </c>
      <c r="Z295" s="962">
        <v>0</v>
      </c>
      <c r="AA295" s="962">
        <v>0</v>
      </c>
      <c r="AB295" s="962">
        <v>0</v>
      </c>
      <c r="AC295" s="962">
        <v>0</v>
      </c>
      <c r="AD295" s="961">
        <v>0</v>
      </c>
      <c r="AE295" s="961">
        <v>0</v>
      </c>
      <c r="AF295" s="961">
        <v>0</v>
      </c>
      <c r="AG295" s="961">
        <v>0</v>
      </c>
      <c r="AH295" s="961">
        <v>0</v>
      </c>
      <c r="AI295" s="961">
        <v>0</v>
      </c>
      <c r="AJ295" s="961">
        <v>0</v>
      </c>
      <c r="AK295" s="961">
        <v>0</v>
      </c>
      <c r="AL295" s="961">
        <v>0</v>
      </c>
      <c r="AM295" s="961">
        <v>0</v>
      </c>
      <c r="AN295" s="961">
        <v>0</v>
      </c>
      <c r="AO295" s="961">
        <v>0</v>
      </c>
      <c r="AP295" s="961">
        <v>0</v>
      </c>
      <c r="AQ295" s="961">
        <v>0</v>
      </c>
      <c r="AR295" s="961">
        <v>0</v>
      </c>
      <c r="AS295" s="961">
        <v>0</v>
      </c>
      <c r="AT295" s="961">
        <v>0</v>
      </c>
      <c r="AU295" s="961">
        <v>0</v>
      </c>
      <c r="AV295" s="961">
        <v>0</v>
      </c>
      <c r="AW295" s="961">
        <v>0</v>
      </c>
      <c r="AX295" s="961">
        <v>0</v>
      </c>
      <c r="AY295" s="961">
        <v>0</v>
      </c>
      <c r="AZ295" s="961">
        <v>0</v>
      </c>
      <c r="BA295" s="961">
        <v>0</v>
      </c>
      <c r="BB295" s="961">
        <v>0</v>
      </c>
      <c r="BC295" s="961">
        <v>0</v>
      </c>
      <c r="BD295" s="961">
        <v>0</v>
      </c>
      <c r="BE295" s="961">
        <v>0</v>
      </c>
      <c r="BF295" s="961">
        <v>0</v>
      </c>
      <c r="BG295" s="961">
        <v>0</v>
      </c>
      <c r="BH295" s="961">
        <v>0</v>
      </c>
      <c r="BI295" s="961">
        <v>0</v>
      </c>
      <c r="BJ295" s="961">
        <v>0</v>
      </c>
      <c r="BK295" s="915"/>
      <c r="BL295" s="915"/>
    </row>
    <row r="296" spans="1:64" s="371" customFormat="1" x14ac:dyDescent="0.3">
      <c r="A296" s="947">
        <v>637</v>
      </c>
      <c r="B296" s="1017"/>
      <c r="C296" s="947">
        <v>637</v>
      </c>
      <c r="D296" s="947" t="s">
        <v>452</v>
      </c>
      <c r="E296" s="947"/>
      <c r="F296" s="958">
        <v>0</v>
      </c>
      <c r="G296" s="959">
        <v>0</v>
      </c>
      <c r="H296" s="959">
        <v>0</v>
      </c>
      <c r="I296" s="959">
        <v>0</v>
      </c>
      <c r="J296" s="959">
        <v>0</v>
      </c>
      <c r="K296" s="959">
        <v>0</v>
      </c>
      <c r="L296" s="960">
        <v>0</v>
      </c>
      <c r="M296" s="961">
        <v>0</v>
      </c>
      <c r="N296" s="961">
        <v>0</v>
      </c>
      <c r="O296" s="962">
        <v>0</v>
      </c>
      <c r="P296" s="962">
        <v>0</v>
      </c>
      <c r="Q296" s="962">
        <v>0</v>
      </c>
      <c r="R296" s="962">
        <v>0</v>
      </c>
      <c r="S296" s="962">
        <v>0</v>
      </c>
      <c r="T296" s="962">
        <v>0</v>
      </c>
      <c r="U296" s="962">
        <v>0</v>
      </c>
      <c r="V296" s="962">
        <v>0</v>
      </c>
      <c r="W296" s="962">
        <v>0</v>
      </c>
      <c r="X296" s="962">
        <v>0</v>
      </c>
      <c r="Y296" s="962">
        <v>0</v>
      </c>
      <c r="Z296" s="962">
        <v>0</v>
      </c>
      <c r="AA296" s="962">
        <v>0</v>
      </c>
      <c r="AB296" s="962">
        <v>0</v>
      </c>
      <c r="AC296" s="962">
        <v>0</v>
      </c>
      <c r="AD296" s="961">
        <v>0</v>
      </c>
      <c r="AE296" s="961">
        <v>0</v>
      </c>
      <c r="AF296" s="961">
        <v>0</v>
      </c>
      <c r="AG296" s="961">
        <v>0</v>
      </c>
      <c r="AH296" s="961">
        <v>0</v>
      </c>
      <c r="AI296" s="961">
        <v>0</v>
      </c>
      <c r="AJ296" s="961">
        <v>0</v>
      </c>
      <c r="AK296" s="961">
        <v>0</v>
      </c>
      <c r="AL296" s="961">
        <v>0</v>
      </c>
      <c r="AM296" s="961">
        <v>0</v>
      </c>
      <c r="AN296" s="961">
        <v>0</v>
      </c>
      <c r="AO296" s="961">
        <v>0</v>
      </c>
      <c r="AP296" s="961">
        <v>0</v>
      </c>
      <c r="AQ296" s="961">
        <v>0</v>
      </c>
      <c r="AR296" s="961">
        <v>0</v>
      </c>
      <c r="AS296" s="961">
        <v>0</v>
      </c>
      <c r="AT296" s="961">
        <v>0</v>
      </c>
      <c r="AU296" s="961">
        <v>0</v>
      </c>
      <c r="AV296" s="961">
        <v>0</v>
      </c>
      <c r="AW296" s="961">
        <v>0</v>
      </c>
      <c r="AX296" s="961">
        <v>0</v>
      </c>
      <c r="AY296" s="961">
        <v>0</v>
      </c>
      <c r="AZ296" s="961">
        <v>0</v>
      </c>
      <c r="BA296" s="961">
        <v>0</v>
      </c>
      <c r="BB296" s="961">
        <v>0</v>
      </c>
      <c r="BC296" s="961">
        <v>0</v>
      </c>
      <c r="BD296" s="961">
        <v>0</v>
      </c>
      <c r="BE296" s="961">
        <v>0</v>
      </c>
      <c r="BF296" s="961">
        <v>0</v>
      </c>
      <c r="BG296" s="961">
        <v>0</v>
      </c>
      <c r="BH296" s="961">
        <v>0</v>
      </c>
      <c r="BI296" s="961">
        <v>0</v>
      </c>
      <c r="BJ296" s="961">
        <v>0</v>
      </c>
      <c r="BK296" s="915"/>
      <c r="BL296" s="915"/>
    </row>
    <row r="297" spans="1:64" s="371" customFormat="1" x14ac:dyDescent="0.3">
      <c r="A297" s="947">
        <v>638</v>
      </c>
      <c r="B297" s="1017"/>
      <c r="C297" s="947">
        <v>638</v>
      </c>
      <c r="D297" s="947" t="s">
        <v>457</v>
      </c>
      <c r="E297" s="947"/>
      <c r="F297" s="958">
        <v>0</v>
      </c>
      <c r="G297" s="959">
        <v>0</v>
      </c>
      <c r="H297" s="959">
        <v>0</v>
      </c>
      <c r="I297" s="959">
        <v>0</v>
      </c>
      <c r="J297" s="959">
        <v>0</v>
      </c>
      <c r="K297" s="959">
        <v>0</v>
      </c>
      <c r="L297" s="960">
        <v>0</v>
      </c>
      <c r="M297" s="961">
        <v>0</v>
      </c>
      <c r="N297" s="961">
        <v>0</v>
      </c>
      <c r="O297" s="962">
        <v>0</v>
      </c>
      <c r="P297" s="962">
        <v>0</v>
      </c>
      <c r="Q297" s="962">
        <v>0</v>
      </c>
      <c r="R297" s="962">
        <v>0</v>
      </c>
      <c r="S297" s="962">
        <v>0</v>
      </c>
      <c r="T297" s="962">
        <v>0</v>
      </c>
      <c r="U297" s="962">
        <v>0</v>
      </c>
      <c r="V297" s="962">
        <v>0</v>
      </c>
      <c r="W297" s="962">
        <v>0</v>
      </c>
      <c r="X297" s="962">
        <v>0</v>
      </c>
      <c r="Y297" s="962">
        <v>0</v>
      </c>
      <c r="Z297" s="962">
        <v>0</v>
      </c>
      <c r="AA297" s="962">
        <v>0</v>
      </c>
      <c r="AB297" s="962">
        <v>0</v>
      </c>
      <c r="AC297" s="962">
        <v>0</v>
      </c>
      <c r="AD297" s="961">
        <v>0</v>
      </c>
      <c r="AE297" s="961">
        <v>0</v>
      </c>
      <c r="AF297" s="961">
        <v>0</v>
      </c>
      <c r="AG297" s="961">
        <v>0</v>
      </c>
      <c r="AH297" s="961">
        <v>0</v>
      </c>
      <c r="AI297" s="961">
        <v>0</v>
      </c>
      <c r="AJ297" s="961">
        <v>0</v>
      </c>
      <c r="AK297" s="961">
        <v>0</v>
      </c>
      <c r="AL297" s="961">
        <v>0</v>
      </c>
      <c r="AM297" s="961">
        <v>0</v>
      </c>
      <c r="AN297" s="961">
        <v>0</v>
      </c>
      <c r="AO297" s="961">
        <v>0</v>
      </c>
      <c r="AP297" s="961">
        <v>0</v>
      </c>
      <c r="AQ297" s="961">
        <v>0</v>
      </c>
      <c r="AR297" s="961">
        <v>0</v>
      </c>
      <c r="AS297" s="961">
        <v>0</v>
      </c>
      <c r="AT297" s="961">
        <v>0</v>
      </c>
      <c r="AU297" s="961">
        <v>0</v>
      </c>
      <c r="AV297" s="961">
        <v>0</v>
      </c>
      <c r="AW297" s="961">
        <v>0</v>
      </c>
      <c r="AX297" s="961">
        <v>0</v>
      </c>
      <c r="AY297" s="961">
        <v>0</v>
      </c>
      <c r="AZ297" s="961">
        <v>0</v>
      </c>
      <c r="BA297" s="961">
        <v>0</v>
      </c>
      <c r="BB297" s="961">
        <v>0</v>
      </c>
      <c r="BC297" s="961">
        <v>0</v>
      </c>
      <c r="BD297" s="961">
        <v>0</v>
      </c>
      <c r="BE297" s="961">
        <v>0</v>
      </c>
      <c r="BF297" s="961">
        <v>0</v>
      </c>
      <c r="BG297" s="961">
        <v>0</v>
      </c>
      <c r="BH297" s="961">
        <v>0</v>
      </c>
      <c r="BI297" s="961">
        <v>0</v>
      </c>
      <c r="BJ297" s="961">
        <v>0</v>
      </c>
      <c r="BK297" s="915"/>
      <c r="BL297" s="915"/>
    </row>
    <row r="298" spans="1:64" s="371" customFormat="1" x14ac:dyDescent="0.3">
      <c r="A298" s="947">
        <v>639</v>
      </c>
      <c r="B298" s="1017"/>
      <c r="C298" s="947">
        <v>639</v>
      </c>
      <c r="D298" s="947" t="s">
        <v>458</v>
      </c>
      <c r="E298" s="947"/>
      <c r="F298" s="958">
        <v>0</v>
      </c>
      <c r="G298" s="959">
        <v>0</v>
      </c>
      <c r="H298" s="959">
        <v>0</v>
      </c>
      <c r="I298" s="959">
        <v>0</v>
      </c>
      <c r="J298" s="959">
        <v>0</v>
      </c>
      <c r="K298" s="959">
        <v>0</v>
      </c>
      <c r="L298" s="960">
        <v>0</v>
      </c>
      <c r="M298" s="961">
        <v>0</v>
      </c>
      <c r="N298" s="961">
        <v>0</v>
      </c>
      <c r="O298" s="962">
        <v>0</v>
      </c>
      <c r="P298" s="962">
        <v>0</v>
      </c>
      <c r="Q298" s="962">
        <v>0</v>
      </c>
      <c r="R298" s="962">
        <v>0</v>
      </c>
      <c r="S298" s="962">
        <v>0</v>
      </c>
      <c r="T298" s="962">
        <v>0</v>
      </c>
      <c r="U298" s="962">
        <v>0</v>
      </c>
      <c r="V298" s="962">
        <v>0</v>
      </c>
      <c r="W298" s="962">
        <v>0</v>
      </c>
      <c r="X298" s="962">
        <v>0</v>
      </c>
      <c r="Y298" s="962">
        <v>0</v>
      </c>
      <c r="Z298" s="962">
        <v>0</v>
      </c>
      <c r="AA298" s="962">
        <v>0</v>
      </c>
      <c r="AB298" s="962">
        <v>0</v>
      </c>
      <c r="AC298" s="962">
        <v>0</v>
      </c>
      <c r="AD298" s="961">
        <v>0</v>
      </c>
      <c r="AE298" s="961">
        <v>0</v>
      </c>
      <c r="AF298" s="961">
        <v>0</v>
      </c>
      <c r="AG298" s="961">
        <v>0</v>
      </c>
      <c r="AH298" s="961">
        <v>0</v>
      </c>
      <c r="AI298" s="961">
        <v>0</v>
      </c>
      <c r="AJ298" s="961">
        <v>0</v>
      </c>
      <c r="AK298" s="961">
        <v>0</v>
      </c>
      <c r="AL298" s="961">
        <v>0</v>
      </c>
      <c r="AM298" s="961">
        <v>0</v>
      </c>
      <c r="AN298" s="961">
        <v>0</v>
      </c>
      <c r="AO298" s="961">
        <v>0</v>
      </c>
      <c r="AP298" s="961">
        <v>0</v>
      </c>
      <c r="AQ298" s="961">
        <v>0</v>
      </c>
      <c r="AR298" s="961">
        <v>0</v>
      </c>
      <c r="AS298" s="961">
        <v>0</v>
      </c>
      <c r="AT298" s="961">
        <v>0</v>
      </c>
      <c r="AU298" s="961">
        <v>0</v>
      </c>
      <c r="AV298" s="961">
        <v>0</v>
      </c>
      <c r="AW298" s="961">
        <v>0</v>
      </c>
      <c r="AX298" s="961">
        <v>0</v>
      </c>
      <c r="AY298" s="961">
        <v>0</v>
      </c>
      <c r="AZ298" s="961">
        <v>0</v>
      </c>
      <c r="BA298" s="961">
        <v>0</v>
      </c>
      <c r="BB298" s="961">
        <v>0</v>
      </c>
      <c r="BC298" s="961">
        <v>0</v>
      </c>
      <c r="BD298" s="961">
        <v>0</v>
      </c>
      <c r="BE298" s="961">
        <v>0</v>
      </c>
      <c r="BF298" s="961">
        <v>0</v>
      </c>
      <c r="BG298" s="961">
        <v>0</v>
      </c>
      <c r="BH298" s="961">
        <v>0</v>
      </c>
      <c r="BI298" s="961">
        <v>0</v>
      </c>
      <c r="BJ298" s="961">
        <v>0</v>
      </c>
      <c r="BK298" s="915"/>
      <c r="BL298" s="915"/>
    </row>
    <row r="299" spans="1:64" s="371" customFormat="1" x14ac:dyDescent="0.3">
      <c r="A299" s="947">
        <v>640</v>
      </c>
      <c r="B299" s="1017"/>
      <c r="C299" s="947">
        <v>640</v>
      </c>
      <c r="D299" s="947" t="s">
        <v>459</v>
      </c>
      <c r="E299" s="947"/>
      <c r="F299" s="958">
        <v>0</v>
      </c>
      <c r="G299" s="959">
        <v>0</v>
      </c>
      <c r="H299" s="959">
        <v>0</v>
      </c>
      <c r="I299" s="959">
        <v>0</v>
      </c>
      <c r="J299" s="959">
        <v>0</v>
      </c>
      <c r="K299" s="959">
        <v>0</v>
      </c>
      <c r="L299" s="960">
        <v>0</v>
      </c>
      <c r="M299" s="961">
        <v>0</v>
      </c>
      <c r="N299" s="961">
        <v>0</v>
      </c>
      <c r="O299" s="962">
        <v>0</v>
      </c>
      <c r="P299" s="962">
        <v>0</v>
      </c>
      <c r="Q299" s="962">
        <v>0</v>
      </c>
      <c r="R299" s="962">
        <v>0</v>
      </c>
      <c r="S299" s="962">
        <v>0</v>
      </c>
      <c r="T299" s="962">
        <v>0</v>
      </c>
      <c r="U299" s="962">
        <v>0</v>
      </c>
      <c r="V299" s="962">
        <v>0</v>
      </c>
      <c r="W299" s="962">
        <v>0</v>
      </c>
      <c r="X299" s="962">
        <v>0</v>
      </c>
      <c r="Y299" s="962">
        <v>0</v>
      </c>
      <c r="Z299" s="962">
        <v>0</v>
      </c>
      <c r="AA299" s="962">
        <v>0</v>
      </c>
      <c r="AB299" s="962">
        <v>0</v>
      </c>
      <c r="AC299" s="962">
        <v>0</v>
      </c>
      <c r="AD299" s="961">
        <v>0</v>
      </c>
      <c r="AE299" s="961">
        <v>0</v>
      </c>
      <c r="AF299" s="961">
        <v>0</v>
      </c>
      <c r="AG299" s="961">
        <v>0</v>
      </c>
      <c r="AH299" s="961">
        <v>0</v>
      </c>
      <c r="AI299" s="961">
        <v>0</v>
      </c>
      <c r="AJ299" s="961">
        <v>0</v>
      </c>
      <c r="AK299" s="961">
        <v>0</v>
      </c>
      <c r="AL299" s="961">
        <v>0</v>
      </c>
      <c r="AM299" s="961">
        <v>0</v>
      </c>
      <c r="AN299" s="961">
        <v>0</v>
      </c>
      <c r="AO299" s="961">
        <v>0</v>
      </c>
      <c r="AP299" s="961">
        <v>0</v>
      </c>
      <c r="AQ299" s="961">
        <v>0</v>
      </c>
      <c r="AR299" s="961">
        <v>0</v>
      </c>
      <c r="AS299" s="961">
        <v>0</v>
      </c>
      <c r="AT299" s="961">
        <v>0</v>
      </c>
      <c r="AU299" s="961">
        <v>0</v>
      </c>
      <c r="AV299" s="961">
        <v>0</v>
      </c>
      <c r="AW299" s="961">
        <v>0</v>
      </c>
      <c r="AX299" s="961">
        <v>0</v>
      </c>
      <c r="AY299" s="961">
        <v>0</v>
      </c>
      <c r="AZ299" s="961">
        <v>0</v>
      </c>
      <c r="BA299" s="961">
        <v>0</v>
      </c>
      <c r="BB299" s="961">
        <v>0</v>
      </c>
      <c r="BC299" s="961">
        <v>0</v>
      </c>
      <c r="BD299" s="961">
        <v>0</v>
      </c>
      <c r="BE299" s="961">
        <v>0</v>
      </c>
      <c r="BF299" s="961">
        <v>0</v>
      </c>
      <c r="BG299" s="961">
        <v>0</v>
      </c>
      <c r="BH299" s="961">
        <v>0</v>
      </c>
      <c r="BI299" s="961">
        <v>0</v>
      </c>
      <c r="BJ299" s="961">
        <v>0</v>
      </c>
      <c r="BK299" s="915"/>
      <c r="BL299" s="915"/>
    </row>
    <row r="300" spans="1:64" s="371" customFormat="1" x14ac:dyDescent="0.3">
      <c r="A300" s="947">
        <v>641</v>
      </c>
      <c r="B300" s="1017"/>
      <c r="C300" s="947">
        <v>641</v>
      </c>
      <c r="D300" s="947" t="s">
        <v>460</v>
      </c>
      <c r="E300" s="947"/>
      <c r="F300" s="958">
        <v>0</v>
      </c>
      <c r="G300" s="959">
        <v>0</v>
      </c>
      <c r="H300" s="959">
        <v>0</v>
      </c>
      <c r="I300" s="959">
        <v>0</v>
      </c>
      <c r="J300" s="959">
        <v>0</v>
      </c>
      <c r="K300" s="959">
        <v>0</v>
      </c>
      <c r="L300" s="960">
        <v>0</v>
      </c>
      <c r="M300" s="961">
        <v>0</v>
      </c>
      <c r="N300" s="961">
        <v>0</v>
      </c>
      <c r="O300" s="962">
        <v>0</v>
      </c>
      <c r="P300" s="962">
        <v>0</v>
      </c>
      <c r="Q300" s="962">
        <v>0</v>
      </c>
      <c r="R300" s="962">
        <v>0</v>
      </c>
      <c r="S300" s="962">
        <v>0</v>
      </c>
      <c r="T300" s="962">
        <v>0</v>
      </c>
      <c r="U300" s="962">
        <v>0</v>
      </c>
      <c r="V300" s="962">
        <v>0</v>
      </c>
      <c r="W300" s="962">
        <v>0</v>
      </c>
      <c r="X300" s="962">
        <v>0</v>
      </c>
      <c r="Y300" s="962">
        <v>0</v>
      </c>
      <c r="Z300" s="962">
        <v>0</v>
      </c>
      <c r="AA300" s="962">
        <v>0</v>
      </c>
      <c r="AB300" s="962">
        <v>0</v>
      </c>
      <c r="AC300" s="962">
        <v>0</v>
      </c>
      <c r="AD300" s="961">
        <v>0</v>
      </c>
      <c r="AE300" s="961">
        <v>0</v>
      </c>
      <c r="AF300" s="961">
        <v>0</v>
      </c>
      <c r="AG300" s="961">
        <v>0</v>
      </c>
      <c r="AH300" s="961">
        <v>0</v>
      </c>
      <c r="AI300" s="961">
        <v>0</v>
      </c>
      <c r="AJ300" s="961">
        <v>0</v>
      </c>
      <c r="AK300" s="961">
        <v>0</v>
      </c>
      <c r="AL300" s="961">
        <v>0</v>
      </c>
      <c r="AM300" s="961">
        <v>0</v>
      </c>
      <c r="AN300" s="961">
        <v>0</v>
      </c>
      <c r="AO300" s="961">
        <v>0</v>
      </c>
      <c r="AP300" s="961">
        <v>0</v>
      </c>
      <c r="AQ300" s="961">
        <v>0</v>
      </c>
      <c r="AR300" s="961">
        <v>0</v>
      </c>
      <c r="AS300" s="961">
        <v>0</v>
      </c>
      <c r="AT300" s="961">
        <v>0</v>
      </c>
      <c r="AU300" s="961">
        <v>0</v>
      </c>
      <c r="AV300" s="961">
        <v>0</v>
      </c>
      <c r="AW300" s="961">
        <v>0</v>
      </c>
      <c r="AX300" s="961">
        <v>0</v>
      </c>
      <c r="AY300" s="961">
        <v>0</v>
      </c>
      <c r="AZ300" s="961">
        <v>0</v>
      </c>
      <c r="BA300" s="961">
        <v>0</v>
      </c>
      <c r="BB300" s="961">
        <v>0</v>
      </c>
      <c r="BC300" s="961">
        <v>0</v>
      </c>
      <c r="BD300" s="961">
        <v>0</v>
      </c>
      <c r="BE300" s="961">
        <v>0</v>
      </c>
      <c r="BF300" s="961">
        <v>0</v>
      </c>
      <c r="BG300" s="961">
        <v>0</v>
      </c>
      <c r="BH300" s="961">
        <v>0</v>
      </c>
      <c r="BI300" s="961">
        <v>0</v>
      </c>
      <c r="BJ300" s="961">
        <v>0</v>
      </c>
      <c r="BK300" s="915"/>
      <c r="BL300" s="915"/>
    </row>
    <row r="301" spans="1:64" s="371" customFormat="1" x14ac:dyDescent="0.3">
      <c r="A301" s="947">
        <v>642</v>
      </c>
      <c r="B301" s="1017"/>
      <c r="C301" s="947">
        <v>642</v>
      </c>
      <c r="D301" s="947" t="s">
        <v>461</v>
      </c>
      <c r="E301" s="947"/>
      <c r="F301" s="958">
        <v>0</v>
      </c>
      <c r="G301" s="959">
        <v>0</v>
      </c>
      <c r="H301" s="959">
        <v>0</v>
      </c>
      <c r="I301" s="959">
        <v>0</v>
      </c>
      <c r="J301" s="959">
        <v>0</v>
      </c>
      <c r="K301" s="959">
        <v>0</v>
      </c>
      <c r="L301" s="960">
        <v>0</v>
      </c>
      <c r="M301" s="961">
        <v>0</v>
      </c>
      <c r="N301" s="961">
        <v>0</v>
      </c>
      <c r="O301" s="962">
        <v>0</v>
      </c>
      <c r="P301" s="962">
        <v>0</v>
      </c>
      <c r="Q301" s="962">
        <v>0</v>
      </c>
      <c r="R301" s="962">
        <v>0</v>
      </c>
      <c r="S301" s="962">
        <v>0</v>
      </c>
      <c r="T301" s="962">
        <v>0</v>
      </c>
      <c r="U301" s="962">
        <v>0</v>
      </c>
      <c r="V301" s="962">
        <v>0</v>
      </c>
      <c r="W301" s="962">
        <v>0</v>
      </c>
      <c r="X301" s="962">
        <v>0</v>
      </c>
      <c r="Y301" s="962">
        <v>0</v>
      </c>
      <c r="Z301" s="962">
        <v>0</v>
      </c>
      <c r="AA301" s="962">
        <v>0</v>
      </c>
      <c r="AB301" s="962">
        <v>0</v>
      </c>
      <c r="AC301" s="962">
        <v>0</v>
      </c>
      <c r="AD301" s="961">
        <v>0</v>
      </c>
      <c r="AE301" s="961">
        <v>0</v>
      </c>
      <c r="AF301" s="961">
        <v>0</v>
      </c>
      <c r="AG301" s="961">
        <v>0</v>
      </c>
      <c r="AH301" s="961">
        <v>0</v>
      </c>
      <c r="AI301" s="961">
        <v>0</v>
      </c>
      <c r="AJ301" s="961">
        <v>0</v>
      </c>
      <c r="AK301" s="961">
        <v>0</v>
      </c>
      <c r="AL301" s="961">
        <v>0</v>
      </c>
      <c r="AM301" s="961">
        <v>0</v>
      </c>
      <c r="AN301" s="961">
        <v>0</v>
      </c>
      <c r="AO301" s="961">
        <v>0</v>
      </c>
      <c r="AP301" s="961">
        <v>0</v>
      </c>
      <c r="AQ301" s="961">
        <v>0</v>
      </c>
      <c r="AR301" s="961">
        <v>0</v>
      </c>
      <c r="AS301" s="961">
        <v>0</v>
      </c>
      <c r="AT301" s="961">
        <v>0</v>
      </c>
      <c r="AU301" s="961">
        <v>0</v>
      </c>
      <c r="AV301" s="961">
        <v>0</v>
      </c>
      <c r="AW301" s="961">
        <v>0</v>
      </c>
      <c r="AX301" s="961">
        <v>0</v>
      </c>
      <c r="AY301" s="961">
        <v>0</v>
      </c>
      <c r="AZ301" s="961">
        <v>0</v>
      </c>
      <c r="BA301" s="961">
        <v>0</v>
      </c>
      <c r="BB301" s="961">
        <v>0</v>
      </c>
      <c r="BC301" s="961">
        <v>0</v>
      </c>
      <c r="BD301" s="961">
        <v>0</v>
      </c>
      <c r="BE301" s="961">
        <v>0</v>
      </c>
      <c r="BF301" s="961">
        <v>0</v>
      </c>
      <c r="BG301" s="961">
        <v>0</v>
      </c>
      <c r="BH301" s="961">
        <v>0</v>
      </c>
      <c r="BI301" s="961">
        <v>0</v>
      </c>
      <c r="BJ301" s="961">
        <v>0</v>
      </c>
      <c r="BK301" s="915"/>
      <c r="BL301" s="915"/>
    </row>
    <row r="302" spans="1:64" s="371" customFormat="1" x14ac:dyDescent="0.3">
      <c r="A302" s="947">
        <v>643</v>
      </c>
      <c r="B302" s="1017"/>
      <c r="C302" s="947">
        <v>643</v>
      </c>
      <c r="D302" s="947" t="s">
        <v>462</v>
      </c>
      <c r="E302" s="947"/>
      <c r="F302" s="958">
        <v>0</v>
      </c>
      <c r="G302" s="959">
        <v>0</v>
      </c>
      <c r="H302" s="959">
        <v>0</v>
      </c>
      <c r="I302" s="959">
        <v>0</v>
      </c>
      <c r="J302" s="959">
        <v>0</v>
      </c>
      <c r="K302" s="959">
        <v>0</v>
      </c>
      <c r="L302" s="960">
        <v>0</v>
      </c>
      <c r="M302" s="961">
        <v>0</v>
      </c>
      <c r="N302" s="961">
        <v>0</v>
      </c>
      <c r="O302" s="962">
        <v>0</v>
      </c>
      <c r="P302" s="962">
        <v>0</v>
      </c>
      <c r="Q302" s="962">
        <v>0</v>
      </c>
      <c r="R302" s="962">
        <v>0</v>
      </c>
      <c r="S302" s="962">
        <v>0</v>
      </c>
      <c r="T302" s="962">
        <v>0</v>
      </c>
      <c r="U302" s="962">
        <v>0</v>
      </c>
      <c r="V302" s="962">
        <v>0</v>
      </c>
      <c r="W302" s="962">
        <v>0</v>
      </c>
      <c r="X302" s="962">
        <v>0</v>
      </c>
      <c r="Y302" s="962">
        <v>0</v>
      </c>
      <c r="Z302" s="962">
        <v>0</v>
      </c>
      <c r="AA302" s="962">
        <v>0</v>
      </c>
      <c r="AB302" s="962">
        <v>0</v>
      </c>
      <c r="AC302" s="962">
        <v>0</v>
      </c>
      <c r="AD302" s="961">
        <v>0</v>
      </c>
      <c r="AE302" s="961">
        <v>0</v>
      </c>
      <c r="AF302" s="961">
        <v>0</v>
      </c>
      <c r="AG302" s="961">
        <v>0</v>
      </c>
      <c r="AH302" s="961">
        <v>0</v>
      </c>
      <c r="AI302" s="961">
        <v>0</v>
      </c>
      <c r="AJ302" s="961">
        <v>0</v>
      </c>
      <c r="AK302" s="961">
        <v>0</v>
      </c>
      <c r="AL302" s="961">
        <v>0</v>
      </c>
      <c r="AM302" s="961">
        <v>0</v>
      </c>
      <c r="AN302" s="961">
        <v>0</v>
      </c>
      <c r="AO302" s="961">
        <v>0</v>
      </c>
      <c r="AP302" s="961">
        <v>0</v>
      </c>
      <c r="AQ302" s="961">
        <v>0</v>
      </c>
      <c r="AR302" s="961">
        <v>0</v>
      </c>
      <c r="AS302" s="961">
        <v>0</v>
      </c>
      <c r="AT302" s="961">
        <v>0</v>
      </c>
      <c r="AU302" s="961">
        <v>0</v>
      </c>
      <c r="AV302" s="961">
        <v>0</v>
      </c>
      <c r="AW302" s="961">
        <v>0</v>
      </c>
      <c r="AX302" s="961">
        <v>0</v>
      </c>
      <c r="AY302" s="961">
        <v>0</v>
      </c>
      <c r="AZ302" s="961">
        <v>0</v>
      </c>
      <c r="BA302" s="961">
        <v>0</v>
      </c>
      <c r="BB302" s="961">
        <v>0</v>
      </c>
      <c r="BC302" s="961">
        <v>0</v>
      </c>
      <c r="BD302" s="961">
        <v>0</v>
      </c>
      <c r="BE302" s="961">
        <v>0</v>
      </c>
      <c r="BF302" s="961">
        <v>0</v>
      </c>
      <c r="BG302" s="961">
        <v>0</v>
      </c>
      <c r="BH302" s="961">
        <v>0</v>
      </c>
      <c r="BI302" s="961">
        <v>0</v>
      </c>
      <c r="BJ302" s="961">
        <v>0</v>
      </c>
      <c r="BK302" s="915"/>
      <c r="BL302" s="915"/>
    </row>
    <row r="303" spans="1:64" s="371" customFormat="1" x14ac:dyDescent="0.3">
      <c r="A303" s="947">
        <v>644</v>
      </c>
      <c r="B303" s="1017"/>
      <c r="C303" s="947">
        <v>644</v>
      </c>
      <c r="D303" s="947" t="s">
        <v>463</v>
      </c>
      <c r="E303" s="947"/>
      <c r="F303" s="958">
        <v>0</v>
      </c>
      <c r="G303" s="959">
        <v>0</v>
      </c>
      <c r="H303" s="959">
        <v>0</v>
      </c>
      <c r="I303" s="959">
        <v>0</v>
      </c>
      <c r="J303" s="959">
        <v>0</v>
      </c>
      <c r="K303" s="959">
        <v>0</v>
      </c>
      <c r="L303" s="960">
        <v>0</v>
      </c>
      <c r="M303" s="961">
        <v>0</v>
      </c>
      <c r="N303" s="961">
        <v>0</v>
      </c>
      <c r="O303" s="962">
        <v>0</v>
      </c>
      <c r="P303" s="962">
        <v>0</v>
      </c>
      <c r="Q303" s="962">
        <v>0</v>
      </c>
      <c r="R303" s="962">
        <v>0</v>
      </c>
      <c r="S303" s="962">
        <v>0</v>
      </c>
      <c r="T303" s="962">
        <v>0</v>
      </c>
      <c r="U303" s="962">
        <v>0</v>
      </c>
      <c r="V303" s="962">
        <v>0</v>
      </c>
      <c r="W303" s="962">
        <v>0</v>
      </c>
      <c r="X303" s="962">
        <v>0</v>
      </c>
      <c r="Y303" s="962">
        <v>0</v>
      </c>
      <c r="Z303" s="962">
        <v>0</v>
      </c>
      <c r="AA303" s="962">
        <v>0</v>
      </c>
      <c r="AB303" s="962">
        <v>0</v>
      </c>
      <c r="AC303" s="962">
        <v>0</v>
      </c>
      <c r="AD303" s="961">
        <v>0</v>
      </c>
      <c r="AE303" s="961">
        <v>0</v>
      </c>
      <c r="AF303" s="961">
        <v>0</v>
      </c>
      <c r="AG303" s="961">
        <v>0</v>
      </c>
      <c r="AH303" s="961">
        <v>0</v>
      </c>
      <c r="AI303" s="961">
        <v>0</v>
      </c>
      <c r="AJ303" s="961">
        <v>0</v>
      </c>
      <c r="AK303" s="961">
        <v>0</v>
      </c>
      <c r="AL303" s="961">
        <v>0</v>
      </c>
      <c r="AM303" s="961">
        <v>0</v>
      </c>
      <c r="AN303" s="961">
        <v>0</v>
      </c>
      <c r="AO303" s="961">
        <v>0</v>
      </c>
      <c r="AP303" s="961">
        <v>0</v>
      </c>
      <c r="AQ303" s="961">
        <v>0</v>
      </c>
      <c r="AR303" s="961">
        <v>0</v>
      </c>
      <c r="AS303" s="961">
        <v>0</v>
      </c>
      <c r="AT303" s="961">
        <v>0</v>
      </c>
      <c r="AU303" s="961">
        <v>0</v>
      </c>
      <c r="AV303" s="961">
        <v>0</v>
      </c>
      <c r="AW303" s="961">
        <v>0</v>
      </c>
      <c r="AX303" s="961">
        <v>0</v>
      </c>
      <c r="AY303" s="961">
        <v>0</v>
      </c>
      <c r="AZ303" s="961">
        <v>0</v>
      </c>
      <c r="BA303" s="961">
        <v>0</v>
      </c>
      <c r="BB303" s="961">
        <v>0</v>
      </c>
      <c r="BC303" s="961">
        <v>0</v>
      </c>
      <c r="BD303" s="961">
        <v>0</v>
      </c>
      <c r="BE303" s="961">
        <v>0</v>
      </c>
      <c r="BF303" s="961">
        <v>0</v>
      </c>
      <c r="BG303" s="961">
        <v>0</v>
      </c>
      <c r="BH303" s="961">
        <v>0</v>
      </c>
      <c r="BI303" s="961">
        <v>0</v>
      </c>
      <c r="BJ303" s="961">
        <v>0</v>
      </c>
      <c r="BK303" s="915"/>
      <c r="BL303" s="915"/>
    </row>
    <row r="304" spans="1:64" s="371" customFormat="1" x14ac:dyDescent="0.3">
      <c r="A304" s="947">
        <v>645</v>
      </c>
      <c r="B304" s="1017">
        <v>645</v>
      </c>
      <c r="C304" s="947">
        <v>645</v>
      </c>
      <c r="D304" s="947" t="s">
        <v>464</v>
      </c>
      <c r="E304" s="947"/>
      <c r="F304" s="958">
        <v>0</v>
      </c>
      <c r="G304" s="959">
        <v>0</v>
      </c>
      <c r="H304" s="959">
        <v>970000</v>
      </c>
      <c r="I304" s="959">
        <v>0</v>
      </c>
      <c r="J304" s="959">
        <v>0</v>
      </c>
      <c r="K304" s="959">
        <v>339842</v>
      </c>
      <c r="L304" s="960">
        <v>165550</v>
      </c>
      <c r="M304" s="961">
        <v>558935</v>
      </c>
      <c r="N304" s="961">
        <v>478000</v>
      </c>
      <c r="O304" s="962">
        <v>95915</v>
      </c>
      <c r="P304" s="962">
        <v>983016</v>
      </c>
      <c r="Q304" s="962">
        <v>175000</v>
      </c>
      <c r="R304" s="962">
        <v>0</v>
      </c>
      <c r="S304" s="962">
        <v>321001</v>
      </c>
      <c r="T304" s="962">
        <v>0</v>
      </c>
      <c r="U304" s="962">
        <v>92929</v>
      </c>
      <c r="V304" s="962">
        <v>7121273</v>
      </c>
      <c r="W304" s="962">
        <v>1576785</v>
      </c>
      <c r="X304" s="962">
        <v>0</v>
      </c>
      <c r="Y304" s="962">
        <v>6582159</v>
      </c>
      <c r="Z304" s="962">
        <v>300000</v>
      </c>
      <c r="AA304" s="962">
        <v>0</v>
      </c>
      <c r="AB304" s="962">
        <v>1119619</v>
      </c>
      <c r="AC304" s="962">
        <v>109115</v>
      </c>
      <c r="AD304" s="961">
        <v>0</v>
      </c>
      <c r="AE304" s="961">
        <v>555551</v>
      </c>
      <c r="AF304" s="961">
        <v>150000</v>
      </c>
      <c r="AG304" s="961">
        <v>0</v>
      </c>
      <c r="AH304" s="961">
        <v>2448748</v>
      </c>
      <c r="AI304" s="961">
        <v>376839</v>
      </c>
      <c r="AJ304" s="961">
        <v>0</v>
      </c>
      <c r="AK304" s="961">
        <v>5389091</v>
      </c>
      <c r="AL304" s="961">
        <v>0</v>
      </c>
      <c r="AM304" s="961">
        <v>0</v>
      </c>
      <c r="AN304" s="961">
        <v>1050000</v>
      </c>
      <c r="AO304" s="961">
        <v>0</v>
      </c>
      <c r="AP304" s="961">
        <v>0</v>
      </c>
      <c r="AQ304" s="961">
        <v>0</v>
      </c>
      <c r="AR304" s="961">
        <v>1582500</v>
      </c>
      <c r="AS304" s="961">
        <v>0</v>
      </c>
      <c r="AT304" s="961">
        <v>0</v>
      </c>
      <c r="AU304" s="961">
        <v>123720</v>
      </c>
      <c r="AV304" s="961">
        <v>11812</v>
      </c>
      <c r="AW304" s="961">
        <v>0</v>
      </c>
      <c r="AX304" s="961">
        <v>0</v>
      </c>
      <c r="AY304" s="961">
        <v>43537206</v>
      </c>
      <c r="AZ304" s="961">
        <v>0</v>
      </c>
      <c r="BA304" s="961">
        <v>45334</v>
      </c>
      <c r="BB304" s="961">
        <v>0</v>
      </c>
      <c r="BC304" s="961">
        <v>0</v>
      </c>
      <c r="BD304" s="961">
        <v>0</v>
      </c>
      <c r="BE304" s="961">
        <v>0</v>
      </c>
      <c r="BF304" s="961">
        <v>2447715</v>
      </c>
      <c r="BG304" s="961">
        <v>1919203</v>
      </c>
      <c r="BH304" s="961">
        <v>0</v>
      </c>
      <c r="BI304" s="961">
        <v>402904</v>
      </c>
      <c r="BJ304" s="961">
        <v>0</v>
      </c>
      <c r="BK304" s="915"/>
      <c r="BL304" s="915"/>
    </row>
    <row r="305" spans="1:64" s="371" customFormat="1" x14ac:dyDescent="0.3">
      <c r="A305" s="947">
        <v>646</v>
      </c>
      <c r="B305" s="1017">
        <v>646</v>
      </c>
      <c r="C305" s="947">
        <v>646</v>
      </c>
      <c r="D305" s="947" t="s">
        <v>465</v>
      </c>
      <c r="E305" s="947"/>
      <c r="F305" s="958">
        <v>343862</v>
      </c>
      <c r="G305" s="959">
        <v>1859271</v>
      </c>
      <c r="H305" s="959">
        <v>1468722</v>
      </c>
      <c r="I305" s="959">
        <v>0</v>
      </c>
      <c r="J305" s="959">
        <v>1107517</v>
      </c>
      <c r="K305" s="959">
        <v>1071608</v>
      </c>
      <c r="L305" s="960">
        <v>102550</v>
      </c>
      <c r="M305" s="961">
        <v>1835284</v>
      </c>
      <c r="N305" s="961">
        <v>5034903</v>
      </c>
      <c r="O305" s="962">
        <v>831495</v>
      </c>
      <c r="P305" s="962">
        <v>1952555</v>
      </c>
      <c r="Q305" s="962">
        <v>2633080</v>
      </c>
      <c r="R305" s="962">
        <v>2307712</v>
      </c>
      <c r="S305" s="962">
        <v>1055195</v>
      </c>
      <c r="T305" s="962">
        <v>0</v>
      </c>
      <c r="U305" s="962">
        <v>3714939</v>
      </c>
      <c r="V305" s="962">
        <v>15932985</v>
      </c>
      <c r="W305" s="962">
        <v>736785</v>
      </c>
      <c r="X305" s="962">
        <v>42859</v>
      </c>
      <c r="Y305" s="962">
        <v>8641516</v>
      </c>
      <c r="Z305" s="962">
        <v>5672896</v>
      </c>
      <c r="AA305" s="962">
        <v>466550</v>
      </c>
      <c r="AB305" s="962">
        <v>3024931</v>
      </c>
      <c r="AC305" s="962">
        <v>213959</v>
      </c>
      <c r="AD305" s="961">
        <v>1629737</v>
      </c>
      <c r="AE305" s="961">
        <v>3785478</v>
      </c>
      <c r="AF305" s="961">
        <v>469616</v>
      </c>
      <c r="AG305" s="961">
        <v>4273877</v>
      </c>
      <c r="AH305" s="961">
        <v>674700</v>
      </c>
      <c r="AI305" s="961">
        <v>1119918</v>
      </c>
      <c r="AJ305" s="961">
        <v>3355835</v>
      </c>
      <c r="AK305" s="961">
        <v>9694460</v>
      </c>
      <c r="AL305" s="961">
        <v>6313479</v>
      </c>
      <c r="AM305" s="961">
        <v>1706327</v>
      </c>
      <c r="AN305" s="961">
        <v>2905301</v>
      </c>
      <c r="AO305" s="961">
        <v>1710884</v>
      </c>
      <c r="AP305" s="961">
        <v>682771</v>
      </c>
      <c r="AQ305" s="961">
        <v>829898</v>
      </c>
      <c r="AR305" s="961">
        <v>878424</v>
      </c>
      <c r="AS305" s="961">
        <v>56500</v>
      </c>
      <c r="AT305" s="961">
        <v>660840</v>
      </c>
      <c r="AU305" s="961">
        <v>924375</v>
      </c>
      <c r="AV305" s="961">
        <v>320065</v>
      </c>
      <c r="AW305" s="961">
        <v>1602910</v>
      </c>
      <c r="AX305" s="961">
        <v>552886</v>
      </c>
      <c r="AY305" s="961">
        <v>35271113</v>
      </c>
      <c r="AZ305" s="961">
        <v>832712</v>
      </c>
      <c r="BA305" s="961">
        <v>714021</v>
      </c>
      <c r="BB305" s="961">
        <v>3775921</v>
      </c>
      <c r="BC305" s="961">
        <v>-5725383</v>
      </c>
      <c r="BD305" s="961">
        <v>797147</v>
      </c>
      <c r="BE305" s="961">
        <v>1489677</v>
      </c>
      <c r="BF305" s="961">
        <v>2764819</v>
      </c>
      <c r="BG305" s="961">
        <v>5115206</v>
      </c>
      <c r="BH305" s="961">
        <v>7756984</v>
      </c>
      <c r="BI305" s="961">
        <v>1204422</v>
      </c>
      <c r="BJ305" s="961">
        <v>1055163</v>
      </c>
      <c r="BK305" s="915"/>
      <c r="BL305" s="915"/>
    </row>
    <row r="306" spans="1:64" s="371" customFormat="1" x14ac:dyDescent="0.3">
      <c r="A306" s="947">
        <v>647</v>
      </c>
      <c r="B306" s="1017"/>
      <c r="C306" s="947">
        <v>647</v>
      </c>
      <c r="D306" s="947" t="s">
        <v>466</v>
      </c>
      <c r="E306" s="947"/>
      <c r="F306" s="958">
        <v>0</v>
      </c>
      <c r="G306" s="959">
        <v>0</v>
      </c>
      <c r="H306" s="959">
        <v>0</v>
      </c>
      <c r="I306" s="959">
        <v>0</v>
      </c>
      <c r="J306" s="959">
        <v>0</v>
      </c>
      <c r="K306" s="959">
        <v>0</v>
      </c>
      <c r="L306" s="960">
        <v>0</v>
      </c>
      <c r="M306" s="961">
        <v>0</v>
      </c>
      <c r="N306" s="961">
        <v>0</v>
      </c>
      <c r="O306" s="962">
        <v>0</v>
      </c>
      <c r="P306" s="962">
        <v>0</v>
      </c>
      <c r="Q306" s="962">
        <v>0</v>
      </c>
      <c r="R306" s="962">
        <v>0</v>
      </c>
      <c r="S306" s="962">
        <v>0</v>
      </c>
      <c r="T306" s="962">
        <v>0</v>
      </c>
      <c r="U306" s="962">
        <v>0</v>
      </c>
      <c r="V306" s="962">
        <v>0</v>
      </c>
      <c r="W306" s="962">
        <v>0</v>
      </c>
      <c r="X306" s="962">
        <v>0</v>
      </c>
      <c r="Y306" s="962">
        <v>0</v>
      </c>
      <c r="Z306" s="962">
        <v>0</v>
      </c>
      <c r="AA306" s="962">
        <v>0</v>
      </c>
      <c r="AB306" s="962">
        <v>0</v>
      </c>
      <c r="AC306" s="962">
        <v>0</v>
      </c>
      <c r="AD306" s="961">
        <v>0</v>
      </c>
      <c r="AE306" s="961">
        <v>0</v>
      </c>
      <c r="AF306" s="961">
        <v>0</v>
      </c>
      <c r="AG306" s="961">
        <v>0</v>
      </c>
      <c r="AH306" s="961">
        <v>0</v>
      </c>
      <c r="AI306" s="961">
        <v>0</v>
      </c>
      <c r="AJ306" s="961">
        <v>0</v>
      </c>
      <c r="AK306" s="961">
        <v>0</v>
      </c>
      <c r="AL306" s="961">
        <v>0</v>
      </c>
      <c r="AM306" s="961">
        <v>0</v>
      </c>
      <c r="AN306" s="961">
        <v>0</v>
      </c>
      <c r="AO306" s="961">
        <v>0</v>
      </c>
      <c r="AP306" s="961">
        <v>0</v>
      </c>
      <c r="AQ306" s="961">
        <v>0</v>
      </c>
      <c r="AR306" s="961">
        <v>0</v>
      </c>
      <c r="AS306" s="961">
        <v>0</v>
      </c>
      <c r="AT306" s="961">
        <v>0</v>
      </c>
      <c r="AU306" s="961">
        <v>0</v>
      </c>
      <c r="AV306" s="961">
        <v>0</v>
      </c>
      <c r="AW306" s="961">
        <v>0</v>
      </c>
      <c r="AX306" s="961">
        <v>0</v>
      </c>
      <c r="AY306" s="961">
        <v>0</v>
      </c>
      <c r="AZ306" s="961">
        <v>0</v>
      </c>
      <c r="BA306" s="961">
        <v>0</v>
      </c>
      <c r="BB306" s="961">
        <v>0</v>
      </c>
      <c r="BC306" s="961">
        <v>0</v>
      </c>
      <c r="BD306" s="961">
        <v>0</v>
      </c>
      <c r="BE306" s="961">
        <v>0</v>
      </c>
      <c r="BF306" s="961">
        <v>0</v>
      </c>
      <c r="BG306" s="961">
        <v>0</v>
      </c>
      <c r="BH306" s="961">
        <v>0</v>
      </c>
      <c r="BI306" s="961">
        <v>0</v>
      </c>
      <c r="BJ306" s="961">
        <v>0</v>
      </c>
      <c r="BK306" s="915"/>
      <c r="BL306" s="915"/>
    </row>
    <row r="307" spans="1:64" s="371" customFormat="1" x14ac:dyDescent="0.3">
      <c r="A307" s="947">
        <v>654</v>
      </c>
      <c r="B307" s="1017"/>
      <c r="C307" s="947">
        <v>654</v>
      </c>
      <c r="D307" s="947" t="s">
        <v>496</v>
      </c>
      <c r="E307" s="947"/>
      <c r="F307" s="958">
        <v>0</v>
      </c>
      <c r="G307" s="959">
        <v>0</v>
      </c>
      <c r="H307" s="959">
        <v>0</v>
      </c>
      <c r="I307" s="959">
        <v>0</v>
      </c>
      <c r="J307" s="959">
        <v>0</v>
      </c>
      <c r="K307" s="959">
        <v>0</v>
      </c>
      <c r="L307" s="960">
        <v>0</v>
      </c>
      <c r="M307" s="961">
        <v>0</v>
      </c>
      <c r="N307" s="961">
        <v>0</v>
      </c>
      <c r="O307" s="962">
        <v>0</v>
      </c>
      <c r="P307" s="962">
        <v>0</v>
      </c>
      <c r="Q307" s="962">
        <v>0</v>
      </c>
      <c r="R307" s="962">
        <v>0</v>
      </c>
      <c r="S307" s="962">
        <v>0</v>
      </c>
      <c r="T307" s="962">
        <v>0</v>
      </c>
      <c r="U307" s="962">
        <v>0</v>
      </c>
      <c r="V307" s="962">
        <v>0</v>
      </c>
      <c r="W307" s="962">
        <v>0</v>
      </c>
      <c r="X307" s="962">
        <v>0</v>
      </c>
      <c r="Y307" s="962">
        <v>0</v>
      </c>
      <c r="Z307" s="962">
        <v>0</v>
      </c>
      <c r="AA307" s="962">
        <v>0</v>
      </c>
      <c r="AB307" s="962">
        <v>0</v>
      </c>
      <c r="AC307" s="962">
        <v>0</v>
      </c>
      <c r="AD307" s="961">
        <v>0</v>
      </c>
      <c r="AE307" s="961">
        <v>0</v>
      </c>
      <c r="AF307" s="961">
        <v>0</v>
      </c>
      <c r="AG307" s="961">
        <v>0</v>
      </c>
      <c r="AH307" s="961">
        <v>0</v>
      </c>
      <c r="AI307" s="961">
        <v>0</v>
      </c>
      <c r="AJ307" s="961">
        <v>0</v>
      </c>
      <c r="AK307" s="961">
        <v>0</v>
      </c>
      <c r="AL307" s="961">
        <v>0</v>
      </c>
      <c r="AM307" s="961">
        <v>0</v>
      </c>
      <c r="AN307" s="961">
        <v>0</v>
      </c>
      <c r="AO307" s="961">
        <v>0</v>
      </c>
      <c r="AP307" s="961">
        <v>0</v>
      </c>
      <c r="AQ307" s="961">
        <v>0</v>
      </c>
      <c r="AR307" s="961">
        <v>0</v>
      </c>
      <c r="AS307" s="961">
        <v>0</v>
      </c>
      <c r="AT307" s="961">
        <v>0</v>
      </c>
      <c r="AU307" s="961">
        <v>0</v>
      </c>
      <c r="AV307" s="961">
        <v>0</v>
      </c>
      <c r="AW307" s="961">
        <v>0</v>
      </c>
      <c r="AX307" s="961">
        <v>0</v>
      </c>
      <c r="AY307" s="961">
        <v>0</v>
      </c>
      <c r="AZ307" s="961">
        <v>0</v>
      </c>
      <c r="BA307" s="961">
        <v>0</v>
      </c>
      <c r="BB307" s="961">
        <v>0</v>
      </c>
      <c r="BC307" s="961">
        <v>0</v>
      </c>
      <c r="BD307" s="961">
        <v>0</v>
      </c>
      <c r="BE307" s="961">
        <v>0</v>
      </c>
      <c r="BF307" s="961">
        <v>0</v>
      </c>
      <c r="BG307" s="961">
        <v>0</v>
      </c>
      <c r="BH307" s="961">
        <v>0</v>
      </c>
      <c r="BI307" s="961">
        <v>0</v>
      </c>
      <c r="BJ307" s="961">
        <v>0</v>
      </c>
      <c r="BK307" s="915"/>
      <c r="BL307" s="915"/>
    </row>
    <row r="308" spans="1:64" s="371" customFormat="1" x14ac:dyDescent="0.3">
      <c r="A308" s="947">
        <v>655</v>
      </c>
      <c r="B308" s="1017"/>
      <c r="C308" s="947">
        <v>655</v>
      </c>
      <c r="D308" s="947" t="s">
        <v>531</v>
      </c>
      <c r="E308" s="947"/>
      <c r="F308" s="958">
        <v>0</v>
      </c>
      <c r="G308" s="959">
        <v>0</v>
      </c>
      <c r="H308" s="959">
        <v>0</v>
      </c>
      <c r="I308" s="959">
        <v>0</v>
      </c>
      <c r="J308" s="959">
        <v>0</v>
      </c>
      <c r="K308" s="959">
        <v>0</v>
      </c>
      <c r="L308" s="960">
        <v>0</v>
      </c>
      <c r="M308" s="961">
        <v>0</v>
      </c>
      <c r="N308" s="961">
        <v>0</v>
      </c>
      <c r="O308" s="962">
        <v>0</v>
      </c>
      <c r="P308" s="962">
        <v>0</v>
      </c>
      <c r="Q308" s="962">
        <v>0</v>
      </c>
      <c r="R308" s="962">
        <v>0</v>
      </c>
      <c r="S308" s="962">
        <v>0</v>
      </c>
      <c r="T308" s="962">
        <v>0</v>
      </c>
      <c r="U308" s="962">
        <v>0</v>
      </c>
      <c r="V308" s="962">
        <v>0</v>
      </c>
      <c r="W308" s="962">
        <v>0</v>
      </c>
      <c r="X308" s="962">
        <v>0</v>
      </c>
      <c r="Y308" s="962">
        <v>0</v>
      </c>
      <c r="Z308" s="962">
        <v>0</v>
      </c>
      <c r="AA308" s="962">
        <v>0</v>
      </c>
      <c r="AB308" s="962">
        <v>0</v>
      </c>
      <c r="AC308" s="962">
        <v>0</v>
      </c>
      <c r="AD308" s="961">
        <v>0</v>
      </c>
      <c r="AE308" s="961">
        <v>0</v>
      </c>
      <c r="AF308" s="961">
        <v>0</v>
      </c>
      <c r="AG308" s="961">
        <v>0</v>
      </c>
      <c r="AH308" s="961">
        <v>0</v>
      </c>
      <c r="AI308" s="961">
        <v>0</v>
      </c>
      <c r="AJ308" s="961">
        <v>0</v>
      </c>
      <c r="AK308" s="961">
        <v>0</v>
      </c>
      <c r="AL308" s="961">
        <v>0</v>
      </c>
      <c r="AM308" s="961">
        <v>0</v>
      </c>
      <c r="AN308" s="961">
        <v>0</v>
      </c>
      <c r="AO308" s="961">
        <v>0</v>
      </c>
      <c r="AP308" s="961">
        <v>0</v>
      </c>
      <c r="AQ308" s="961">
        <v>0</v>
      </c>
      <c r="AR308" s="961">
        <v>0</v>
      </c>
      <c r="AS308" s="961">
        <v>0</v>
      </c>
      <c r="AT308" s="961">
        <v>0</v>
      </c>
      <c r="AU308" s="961">
        <v>0</v>
      </c>
      <c r="AV308" s="961">
        <v>0</v>
      </c>
      <c r="AW308" s="961">
        <v>0</v>
      </c>
      <c r="AX308" s="961">
        <v>0</v>
      </c>
      <c r="AY308" s="961">
        <v>0</v>
      </c>
      <c r="AZ308" s="961">
        <v>0</v>
      </c>
      <c r="BA308" s="961">
        <v>0</v>
      </c>
      <c r="BB308" s="961">
        <v>0</v>
      </c>
      <c r="BC308" s="961">
        <v>0</v>
      </c>
      <c r="BD308" s="961">
        <v>0</v>
      </c>
      <c r="BE308" s="961">
        <v>0</v>
      </c>
      <c r="BF308" s="961">
        <v>0</v>
      </c>
      <c r="BG308" s="961">
        <v>0</v>
      </c>
      <c r="BH308" s="961">
        <v>0</v>
      </c>
      <c r="BI308" s="961">
        <v>0</v>
      </c>
      <c r="BJ308" s="961">
        <v>0</v>
      </c>
      <c r="BK308" s="915"/>
      <c r="BL308" s="915"/>
    </row>
    <row r="309" spans="1:64" s="371" customFormat="1" x14ac:dyDescent="0.3">
      <c r="A309" s="947">
        <v>656</v>
      </c>
      <c r="B309" s="1017"/>
      <c r="C309" s="947">
        <v>656</v>
      </c>
      <c r="D309" s="947" t="s">
        <v>504</v>
      </c>
      <c r="E309" s="947"/>
      <c r="F309" s="958">
        <v>0</v>
      </c>
      <c r="G309" s="959">
        <v>0</v>
      </c>
      <c r="H309" s="959">
        <v>0</v>
      </c>
      <c r="I309" s="959">
        <v>0</v>
      </c>
      <c r="J309" s="959">
        <v>0</v>
      </c>
      <c r="K309" s="959">
        <v>0</v>
      </c>
      <c r="L309" s="960">
        <v>0</v>
      </c>
      <c r="M309" s="961">
        <v>0</v>
      </c>
      <c r="N309" s="961">
        <v>0</v>
      </c>
      <c r="O309" s="962">
        <v>0</v>
      </c>
      <c r="P309" s="962">
        <v>0</v>
      </c>
      <c r="Q309" s="962">
        <v>0</v>
      </c>
      <c r="R309" s="962">
        <v>0</v>
      </c>
      <c r="S309" s="962">
        <v>0</v>
      </c>
      <c r="T309" s="962">
        <v>0</v>
      </c>
      <c r="U309" s="962">
        <v>0</v>
      </c>
      <c r="V309" s="962">
        <v>0</v>
      </c>
      <c r="W309" s="962">
        <v>0</v>
      </c>
      <c r="X309" s="962">
        <v>0</v>
      </c>
      <c r="Y309" s="962">
        <v>0</v>
      </c>
      <c r="Z309" s="962">
        <v>0</v>
      </c>
      <c r="AA309" s="962">
        <v>0</v>
      </c>
      <c r="AB309" s="962">
        <v>0</v>
      </c>
      <c r="AC309" s="962">
        <v>0</v>
      </c>
      <c r="AD309" s="961">
        <v>0</v>
      </c>
      <c r="AE309" s="961">
        <v>0</v>
      </c>
      <c r="AF309" s="961">
        <v>0</v>
      </c>
      <c r="AG309" s="961">
        <v>0</v>
      </c>
      <c r="AH309" s="961">
        <v>0</v>
      </c>
      <c r="AI309" s="961">
        <v>0</v>
      </c>
      <c r="AJ309" s="961">
        <v>0</v>
      </c>
      <c r="AK309" s="961">
        <v>0</v>
      </c>
      <c r="AL309" s="961">
        <v>0</v>
      </c>
      <c r="AM309" s="961">
        <v>0</v>
      </c>
      <c r="AN309" s="961">
        <v>0</v>
      </c>
      <c r="AO309" s="961">
        <v>0</v>
      </c>
      <c r="AP309" s="961">
        <v>0</v>
      </c>
      <c r="AQ309" s="961">
        <v>0</v>
      </c>
      <c r="AR309" s="961">
        <v>0</v>
      </c>
      <c r="AS309" s="961">
        <v>0</v>
      </c>
      <c r="AT309" s="961">
        <v>0</v>
      </c>
      <c r="AU309" s="961">
        <v>0</v>
      </c>
      <c r="AV309" s="961">
        <v>0</v>
      </c>
      <c r="AW309" s="961">
        <v>0</v>
      </c>
      <c r="AX309" s="961">
        <v>0</v>
      </c>
      <c r="AY309" s="961">
        <v>0</v>
      </c>
      <c r="AZ309" s="961">
        <v>0</v>
      </c>
      <c r="BA309" s="961">
        <v>0</v>
      </c>
      <c r="BB309" s="961">
        <v>0</v>
      </c>
      <c r="BC309" s="961">
        <v>0</v>
      </c>
      <c r="BD309" s="961">
        <v>0</v>
      </c>
      <c r="BE309" s="961">
        <v>0</v>
      </c>
      <c r="BF309" s="961">
        <v>0</v>
      </c>
      <c r="BG309" s="961">
        <v>0</v>
      </c>
      <c r="BH309" s="961">
        <v>0</v>
      </c>
      <c r="BI309" s="961">
        <v>0</v>
      </c>
      <c r="BJ309" s="961">
        <v>0</v>
      </c>
      <c r="BK309" s="915"/>
      <c r="BL309" s="915"/>
    </row>
    <row r="310" spans="1:64" s="371" customFormat="1" ht="55.8" x14ac:dyDescent="0.3">
      <c r="A310" s="947">
        <v>657</v>
      </c>
      <c r="B310" s="1017"/>
      <c r="C310" s="947">
        <v>657</v>
      </c>
      <c r="D310" s="1009" t="s">
        <v>501</v>
      </c>
      <c r="E310" s="947"/>
      <c r="F310" s="958">
        <v>0</v>
      </c>
      <c r="G310" s="959">
        <v>0</v>
      </c>
      <c r="H310" s="959">
        <v>0</v>
      </c>
      <c r="I310" s="959">
        <v>0</v>
      </c>
      <c r="J310" s="959">
        <v>0</v>
      </c>
      <c r="K310" s="959">
        <v>0</v>
      </c>
      <c r="L310" s="960">
        <v>0</v>
      </c>
      <c r="M310" s="961">
        <v>0</v>
      </c>
      <c r="N310" s="961">
        <v>0</v>
      </c>
      <c r="O310" s="962">
        <v>0</v>
      </c>
      <c r="P310" s="962">
        <v>0</v>
      </c>
      <c r="Q310" s="962">
        <v>0</v>
      </c>
      <c r="R310" s="962">
        <v>0</v>
      </c>
      <c r="S310" s="962">
        <v>0</v>
      </c>
      <c r="T310" s="962">
        <v>0</v>
      </c>
      <c r="U310" s="962">
        <v>0</v>
      </c>
      <c r="V310" s="962">
        <v>0</v>
      </c>
      <c r="W310" s="962">
        <v>0</v>
      </c>
      <c r="X310" s="962">
        <v>0</v>
      </c>
      <c r="Y310" s="962">
        <v>0</v>
      </c>
      <c r="Z310" s="962">
        <v>0</v>
      </c>
      <c r="AA310" s="962">
        <v>0</v>
      </c>
      <c r="AB310" s="962">
        <v>0</v>
      </c>
      <c r="AC310" s="962">
        <v>0</v>
      </c>
      <c r="AD310" s="961">
        <v>0</v>
      </c>
      <c r="AE310" s="961">
        <v>0</v>
      </c>
      <c r="AF310" s="961">
        <v>0</v>
      </c>
      <c r="AG310" s="961">
        <v>0</v>
      </c>
      <c r="AH310" s="961">
        <v>0</v>
      </c>
      <c r="AI310" s="961">
        <v>0</v>
      </c>
      <c r="AJ310" s="961">
        <v>0</v>
      </c>
      <c r="AK310" s="961">
        <v>0</v>
      </c>
      <c r="AL310" s="961">
        <v>0</v>
      </c>
      <c r="AM310" s="961">
        <v>0</v>
      </c>
      <c r="AN310" s="961">
        <v>0</v>
      </c>
      <c r="AO310" s="961">
        <v>0</v>
      </c>
      <c r="AP310" s="961">
        <v>0</v>
      </c>
      <c r="AQ310" s="961">
        <v>0</v>
      </c>
      <c r="AR310" s="961">
        <v>0</v>
      </c>
      <c r="AS310" s="961">
        <v>0</v>
      </c>
      <c r="AT310" s="961">
        <v>0</v>
      </c>
      <c r="AU310" s="961">
        <v>0</v>
      </c>
      <c r="AV310" s="961">
        <v>0</v>
      </c>
      <c r="AW310" s="961">
        <v>0</v>
      </c>
      <c r="AX310" s="961">
        <v>0</v>
      </c>
      <c r="AY310" s="961">
        <v>0</v>
      </c>
      <c r="AZ310" s="961">
        <v>0</v>
      </c>
      <c r="BA310" s="961">
        <v>0</v>
      </c>
      <c r="BB310" s="961">
        <v>0</v>
      </c>
      <c r="BC310" s="961">
        <v>0</v>
      </c>
      <c r="BD310" s="961">
        <v>0</v>
      </c>
      <c r="BE310" s="961">
        <v>0</v>
      </c>
      <c r="BF310" s="961">
        <v>0</v>
      </c>
      <c r="BG310" s="961">
        <v>0</v>
      </c>
      <c r="BH310" s="961">
        <v>0</v>
      </c>
      <c r="BI310" s="961">
        <v>0</v>
      </c>
      <c r="BJ310" s="961">
        <v>0</v>
      </c>
      <c r="BK310" s="915"/>
      <c r="BL310" s="915"/>
    </row>
    <row r="311" spans="1:64" s="371" customFormat="1" x14ac:dyDescent="0.3">
      <c r="A311" s="947">
        <v>658</v>
      </c>
      <c r="B311" s="1017"/>
      <c r="C311" s="947">
        <v>658</v>
      </c>
      <c r="D311" s="947" t="s">
        <v>530</v>
      </c>
      <c r="E311" s="947"/>
      <c r="F311" s="958">
        <v>0</v>
      </c>
      <c r="G311" s="959">
        <v>0</v>
      </c>
      <c r="H311" s="959">
        <v>0</v>
      </c>
      <c r="I311" s="959">
        <v>0</v>
      </c>
      <c r="J311" s="959">
        <v>0</v>
      </c>
      <c r="K311" s="959">
        <v>0</v>
      </c>
      <c r="L311" s="960">
        <v>0</v>
      </c>
      <c r="M311" s="961">
        <v>0</v>
      </c>
      <c r="N311" s="961">
        <v>0</v>
      </c>
      <c r="O311" s="962">
        <v>0</v>
      </c>
      <c r="P311" s="962">
        <v>0</v>
      </c>
      <c r="Q311" s="962">
        <v>0</v>
      </c>
      <c r="R311" s="962">
        <v>0</v>
      </c>
      <c r="S311" s="962">
        <v>0</v>
      </c>
      <c r="T311" s="962">
        <v>0</v>
      </c>
      <c r="U311" s="962">
        <v>0</v>
      </c>
      <c r="V311" s="962">
        <v>0</v>
      </c>
      <c r="W311" s="962">
        <v>0</v>
      </c>
      <c r="X311" s="962">
        <v>0</v>
      </c>
      <c r="Y311" s="962">
        <v>0</v>
      </c>
      <c r="Z311" s="962">
        <v>0</v>
      </c>
      <c r="AA311" s="962">
        <v>0</v>
      </c>
      <c r="AB311" s="962">
        <v>0</v>
      </c>
      <c r="AC311" s="962">
        <v>0</v>
      </c>
      <c r="AD311" s="961">
        <v>0</v>
      </c>
      <c r="AE311" s="961">
        <v>0</v>
      </c>
      <c r="AF311" s="961">
        <v>0</v>
      </c>
      <c r="AG311" s="961">
        <v>0</v>
      </c>
      <c r="AH311" s="961">
        <v>0</v>
      </c>
      <c r="AI311" s="961">
        <v>0</v>
      </c>
      <c r="AJ311" s="961">
        <v>0</v>
      </c>
      <c r="AK311" s="961">
        <v>0</v>
      </c>
      <c r="AL311" s="961">
        <v>0</v>
      </c>
      <c r="AM311" s="961">
        <v>0</v>
      </c>
      <c r="AN311" s="961">
        <v>0</v>
      </c>
      <c r="AO311" s="961">
        <v>0</v>
      </c>
      <c r="AP311" s="961">
        <v>0</v>
      </c>
      <c r="AQ311" s="961">
        <v>0</v>
      </c>
      <c r="AR311" s="961">
        <v>0</v>
      </c>
      <c r="AS311" s="961">
        <v>0</v>
      </c>
      <c r="AT311" s="961">
        <v>0</v>
      </c>
      <c r="AU311" s="961">
        <v>0</v>
      </c>
      <c r="AV311" s="961">
        <v>0</v>
      </c>
      <c r="AW311" s="961">
        <v>0</v>
      </c>
      <c r="AX311" s="961">
        <v>0</v>
      </c>
      <c r="AY311" s="961">
        <v>0</v>
      </c>
      <c r="AZ311" s="961">
        <v>0</v>
      </c>
      <c r="BA311" s="961">
        <v>0</v>
      </c>
      <c r="BB311" s="961">
        <v>0</v>
      </c>
      <c r="BC311" s="961">
        <v>0</v>
      </c>
      <c r="BD311" s="961">
        <v>0</v>
      </c>
      <c r="BE311" s="961">
        <v>0</v>
      </c>
      <c r="BF311" s="961">
        <v>0</v>
      </c>
      <c r="BG311" s="961">
        <v>0</v>
      </c>
      <c r="BH311" s="961">
        <v>0</v>
      </c>
      <c r="BI311" s="961">
        <v>0</v>
      </c>
      <c r="BJ311" s="961">
        <v>0</v>
      </c>
      <c r="BK311" s="915"/>
      <c r="BL311" s="915"/>
    </row>
    <row r="312" spans="1:64" s="371" customFormat="1" ht="55.8" x14ac:dyDescent="0.3">
      <c r="A312" s="947">
        <v>659</v>
      </c>
      <c r="B312" s="1017">
        <v>659</v>
      </c>
      <c r="C312" s="947">
        <v>659</v>
      </c>
      <c r="D312" s="1009" t="s">
        <v>499</v>
      </c>
      <c r="E312" s="947"/>
      <c r="F312" s="958">
        <v>0</v>
      </c>
      <c r="G312" s="959">
        <v>0</v>
      </c>
      <c r="H312" s="959">
        <v>0</v>
      </c>
      <c r="I312" s="959">
        <v>0</v>
      </c>
      <c r="J312" s="959">
        <v>0</v>
      </c>
      <c r="K312" s="959">
        <v>0</v>
      </c>
      <c r="L312" s="960">
        <v>0</v>
      </c>
      <c r="M312" s="961">
        <v>33971673</v>
      </c>
      <c r="N312" s="961">
        <v>33095182000</v>
      </c>
      <c r="O312" s="962">
        <v>0</v>
      </c>
      <c r="P312" s="962">
        <v>0</v>
      </c>
      <c r="Q312" s="962">
        <v>138173080</v>
      </c>
      <c r="R312" s="962">
        <v>0</v>
      </c>
      <c r="S312" s="962">
        <v>17509058</v>
      </c>
      <c r="T312" s="962">
        <v>0</v>
      </c>
      <c r="U312" s="962">
        <v>0</v>
      </c>
      <c r="V312" s="962">
        <v>301976457</v>
      </c>
      <c r="W312" s="962">
        <v>0</v>
      </c>
      <c r="X312" s="962">
        <v>0</v>
      </c>
      <c r="Y312" s="962">
        <v>0</v>
      </c>
      <c r="Z312" s="962">
        <v>0</v>
      </c>
      <c r="AA312" s="962">
        <v>17482789</v>
      </c>
      <c r="AB312" s="962">
        <v>0</v>
      </c>
      <c r="AC312" s="962">
        <v>0</v>
      </c>
      <c r="AD312" s="961">
        <v>0</v>
      </c>
      <c r="AE312" s="961">
        <v>0</v>
      </c>
      <c r="AF312" s="961">
        <v>0</v>
      </c>
      <c r="AG312" s="961">
        <v>165982005</v>
      </c>
      <c r="AH312" s="961">
        <v>0</v>
      </c>
      <c r="AI312" s="961">
        <v>0</v>
      </c>
      <c r="AJ312" s="961">
        <v>225729260</v>
      </c>
      <c r="AK312" s="961">
        <v>0</v>
      </c>
      <c r="AL312" s="961">
        <v>0</v>
      </c>
      <c r="AM312" s="961">
        <v>0</v>
      </c>
      <c r="AN312" s="961">
        <v>0</v>
      </c>
      <c r="AO312" s="961">
        <v>0</v>
      </c>
      <c r="AP312" s="961">
        <v>0</v>
      </c>
      <c r="AQ312" s="961">
        <v>61551753</v>
      </c>
      <c r="AR312" s="961">
        <v>0</v>
      </c>
      <c r="AS312" s="961">
        <v>33095182000</v>
      </c>
      <c r="AT312" s="961">
        <v>28565131</v>
      </c>
      <c r="AU312" s="961">
        <v>0</v>
      </c>
      <c r="AV312" s="961">
        <v>0</v>
      </c>
      <c r="AW312" s="961">
        <v>0</v>
      </c>
      <c r="AX312" s="961">
        <v>55327794</v>
      </c>
      <c r="AY312" s="961">
        <v>1855820546</v>
      </c>
      <c r="AZ312" s="961">
        <v>0</v>
      </c>
      <c r="BA312" s="961">
        <v>0</v>
      </c>
      <c r="BB312" s="961">
        <v>0</v>
      </c>
      <c r="BC312" s="961">
        <v>0</v>
      </c>
      <c r="BD312" s="961">
        <v>0</v>
      </c>
      <c r="BE312" s="961">
        <v>885608</v>
      </c>
      <c r="BF312" s="961">
        <v>99075013</v>
      </c>
      <c r="BG312" s="961">
        <v>0</v>
      </c>
      <c r="BH312" s="961">
        <v>605527697</v>
      </c>
      <c r="BI312" s="961">
        <v>0</v>
      </c>
      <c r="BJ312" s="961">
        <v>0</v>
      </c>
      <c r="BK312" s="915"/>
      <c r="BL312" s="915"/>
    </row>
    <row r="313" spans="1:64" s="371" customFormat="1" ht="55.8" x14ac:dyDescent="0.3">
      <c r="A313" s="947">
        <v>660</v>
      </c>
      <c r="B313" s="1017">
        <v>660</v>
      </c>
      <c r="C313" s="947">
        <v>660</v>
      </c>
      <c r="D313" s="1009" t="s">
        <v>500</v>
      </c>
      <c r="E313" s="947"/>
      <c r="F313" s="958">
        <v>0</v>
      </c>
      <c r="G313" s="959">
        <v>0</v>
      </c>
      <c r="H313" s="959">
        <v>0</v>
      </c>
      <c r="I313" s="959">
        <v>0</v>
      </c>
      <c r="J313" s="959">
        <v>0</v>
      </c>
      <c r="K313" s="959">
        <v>0</v>
      </c>
      <c r="L313" s="960">
        <v>0</v>
      </c>
      <c r="M313" s="961">
        <v>1494754</v>
      </c>
      <c r="N313" s="961">
        <v>1455683000</v>
      </c>
      <c r="O313" s="962">
        <v>0</v>
      </c>
      <c r="P313" s="962">
        <v>0</v>
      </c>
      <c r="Q313" s="962">
        <v>0</v>
      </c>
      <c r="R313" s="962">
        <v>0</v>
      </c>
      <c r="S313" s="962">
        <v>0</v>
      </c>
      <c r="T313" s="962">
        <v>0</v>
      </c>
      <c r="U313" s="962">
        <v>0</v>
      </c>
      <c r="V313" s="962">
        <v>0</v>
      </c>
      <c r="W313" s="962">
        <v>0</v>
      </c>
      <c r="X313" s="962">
        <v>0</v>
      </c>
      <c r="Y313" s="962">
        <v>0</v>
      </c>
      <c r="Z313" s="962">
        <v>0</v>
      </c>
      <c r="AA313" s="962">
        <v>0</v>
      </c>
      <c r="AB313" s="962">
        <v>0</v>
      </c>
      <c r="AC313" s="962">
        <v>0</v>
      </c>
      <c r="AD313" s="961">
        <v>0</v>
      </c>
      <c r="AE313" s="961">
        <v>0</v>
      </c>
      <c r="AF313" s="961">
        <v>0</v>
      </c>
      <c r="AG313" s="961">
        <v>0</v>
      </c>
      <c r="AH313" s="961">
        <v>0</v>
      </c>
      <c r="AI313" s="961">
        <v>0</v>
      </c>
      <c r="AJ313" s="961">
        <v>0</v>
      </c>
      <c r="AK313" s="961">
        <v>0</v>
      </c>
      <c r="AL313" s="961">
        <v>0</v>
      </c>
      <c r="AM313" s="961">
        <v>0</v>
      </c>
      <c r="AN313" s="961">
        <v>0</v>
      </c>
      <c r="AO313" s="961">
        <v>0</v>
      </c>
      <c r="AP313" s="961">
        <v>0</v>
      </c>
      <c r="AQ313" s="961">
        <v>0</v>
      </c>
      <c r="AR313" s="961">
        <v>0</v>
      </c>
      <c r="AS313" s="961">
        <v>1455683000</v>
      </c>
      <c r="AT313" s="961">
        <v>0</v>
      </c>
      <c r="AU313" s="961">
        <v>0</v>
      </c>
      <c r="AV313" s="961">
        <v>0</v>
      </c>
      <c r="AW313" s="961">
        <v>0</v>
      </c>
      <c r="AX313" s="961">
        <v>0</v>
      </c>
      <c r="AY313" s="961">
        <v>0</v>
      </c>
      <c r="AZ313" s="961">
        <v>0</v>
      </c>
      <c r="BA313" s="961">
        <v>0</v>
      </c>
      <c r="BB313" s="961">
        <v>0</v>
      </c>
      <c r="BC313" s="961">
        <v>0</v>
      </c>
      <c r="BD313" s="961">
        <v>0</v>
      </c>
      <c r="BE313" s="961">
        <v>0</v>
      </c>
      <c r="BF313" s="961">
        <v>31639499499</v>
      </c>
      <c r="BG313" s="961">
        <v>0</v>
      </c>
      <c r="BH313" s="961">
        <v>0</v>
      </c>
      <c r="BI313" s="961">
        <v>0</v>
      </c>
      <c r="BJ313" s="961">
        <v>0</v>
      </c>
      <c r="BK313" s="915"/>
      <c r="BL313" s="915"/>
    </row>
    <row r="314" spans="1:64" s="371" customFormat="1" x14ac:dyDescent="0.3">
      <c r="A314" s="947">
        <v>661</v>
      </c>
      <c r="B314" s="1017">
        <v>661</v>
      </c>
      <c r="C314" s="947">
        <v>661</v>
      </c>
      <c r="D314" s="947" t="s">
        <v>503</v>
      </c>
      <c r="E314" s="947"/>
      <c r="F314" s="958">
        <v>0</v>
      </c>
      <c r="G314" s="959">
        <v>0</v>
      </c>
      <c r="H314" s="959">
        <v>0</v>
      </c>
      <c r="I314" s="959">
        <v>0</v>
      </c>
      <c r="J314" s="959">
        <v>0</v>
      </c>
      <c r="K314" s="959">
        <v>0</v>
      </c>
      <c r="L314" s="960">
        <v>0</v>
      </c>
      <c r="M314" s="991">
        <v>4.4000000000000004</v>
      </c>
      <c r="N314" s="961">
        <v>4</v>
      </c>
      <c r="O314" s="962">
        <v>0</v>
      </c>
      <c r="P314" s="962">
        <v>0</v>
      </c>
      <c r="Q314" s="962">
        <v>0</v>
      </c>
      <c r="R314" s="962">
        <v>0</v>
      </c>
      <c r="S314" s="962">
        <v>0</v>
      </c>
      <c r="T314" s="962">
        <v>0</v>
      </c>
      <c r="U314" s="962">
        <v>0</v>
      </c>
      <c r="V314" s="962">
        <v>0</v>
      </c>
      <c r="W314" s="962">
        <v>0</v>
      </c>
      <c r="X314" s="962">
        <v>0</v>
      </c>
      <c r="Y314" s="962">
        <v>0</v>
      </c>
      <c r="Z314" s="962">
        <v>0</v>
      </c>
      <c r="AA314" s="962">
        <v>4</v>
      </c>
      <c r="AB314" s="962">
        <v>0</v>
      </c>
      <c r="AC314" s="962">
        <v>0</v>
      </c>
      <c r="AD314" s="961">
        <v>0</v>
      </c>
      <c r="AE314" s="961">
        <v>0</v>
      </c>
      <c r="AF314" s="961">
        <v>0</v>
      </c>
      <c r="AG314" s="961">
        <v>4</v>
      </c>
      <c r="AH314" s="961">
        <v>0</v>
      </c>
      <c r="AI314" s="961">
        <v>0</v>
      </c>
      <c r="AJ314" s="961">
        <v>0</v>
      </c>
      <c r="AK314" s="961">
        <v>0</v>
      </c>
      <c r="AL314" s="961">
        <v>0</v>
      </c>
      <c r="AM314" s="961">
        <v>0</v>
      </c>
      <c r="AN314" s="961">
        <v>0</v>
      </c>
      <c r="AO314" s="961">
        <v>0</v>
      </c>
      <c r="AP314" s="961">
        <v>0</v>
      </c>
      <c r="AQ314" s="961">
        <v>0</v>
      </c>
      <c r="AR314" s="961">
        <v>0</v>
      </c>
      <c r="AS314" s="961">
        <v>4</v>
      </c>
      <c r="AT314" s="961">
        <v>0</v>
      </c>
      <c r="AU314" s="961">
        <v>0</v>
      </c>
      <c r="AV314" s="961">
        <v>0</v>
      </c>
      <c r="AW314" s="961">
        <v>0</v>
      </c>
      <c r="AX314" s="961">
        <v>0</v>
      </c>
      <c r="AY314" s="961">
        <v>0</v>
      </c>
      <c r="AZ314" s="961">
        <v>0</v>
      </c>
      <c r="BA314" s="961">
        <v>0</v>
      </c>
      <c r="BB314" s="961">
        <v>0</v>
      </c>
      <c r="BC314" s="961">
        <v>0</v>
      </c>
      <c r="BD314" s="961">
        <v>0</v>
      </c>
      <c r="BE314" s="961">
        <v>0</v>
      </c>
      <c r="BF314" s="961">
        <v>0</v>
      </c>
      <c r="BG314" s="961">
        <v>0</v>
      </c>
      <c r="BH314" s="961">
        <v>0</v>
      </c>
      <c r="BI314" s="961">
        <v>0</v>
      </c>
      <c r="BJ314" s="961">
        <v>0</v>
      </c>
      <c r="BK314" s="915"/>
      <c r="BL314" s="915"/>
    </row>
    <row r="315" spans="1:64" s="371" customFormat="1" x14ac:dyDescent="0.3">
      <c r="A315" s="947">
        <v>662</v>
      </c>
      <c r="B315" s="1017">
        <v>662</v>
      </c>
      <c r="C315" s="947">
        <v>662</v>
      </c>
      <c r="D315" s="947" t="s">
        <v>534</v>
      </c>
      <c r="E315" s="947"/>
      <c r="F315" s="958">
        <v>0</v>
      </c>
      <c r="G315" s="959">
        <v>169915</v>
      </c>
      <c r="H315" s="959">
        <v>100071</v>
      </c>
      <c r="I315" s="959">
        <v>161300</v>
      </c>
      <c r="J315" s="959">
        <v>100389</v>
      </c>
      <c r="K315" s="959">
        <v>132381</v>
      </c>
      <c r="L315" s="960">
        <v>75273</v>
      </c>
      <c r="M315" s="961">
        <v>0</v>
      </c>
      <c r="N315" s="961">
        <v>371120</v>
      </c>
      <c r="O315" s="962">
        <v>0</v>
      </c>
      <c r="P315" s="962">
        <v>123340</v>
      </c>
      <c r="Q315" s="962">
        <v>260390</v>
      </c>
      <c r="R315" s="962">
        <v>191617</v>
      </c>
      <c r="S315" s="962">
        <v>0</v>
      </c>
      <c r="T315" s="962">
        <v>0</v>
      </c>
      <c r="U315" s="962">
        <v>934913</v>
      </c>
      <c r="V315" s="962">
        <v>410664</v>
      </c>
      <c r="W315" s="962">
        <v>160289</v>
      </c>
      <c r="X315" s="962">
        <v>129894</v>
      </c>
      <c r="Y315" s="962">
        <v>756736</v>
      </c>
      <c r="Z315" s="962">
        <v>75136</v>
      </c>
      <c r="AA315" s="962">
        <v>0</v>
      </c>
      <c r="AB315" s="962">
        <v>0</v>
      </c>
      <c r="AC315" s="962">
        <v>0</v>
      </c>
      <c r="AD315" s="961">
        <v>0</v>
      </c>
      <c r="AE315" s="961">
        <v>548401</v>
      </c>
      <c r="AF315" s="961">
        <v>34514</v>
      </c>
      <c r="AG315" s="961">
        <v>0</v>
      </c>
      <c r="AH315" s="961">
        <v>134608</v>
      </c>
      <c r="AI315" s="961">
        <v>33269</v>
      </c>
      <c r="AJ315" s="961">
        <v>0</v>
      </c>
      <c r="AK315" s="961">
        <v>87862</v>
      </c>
      <c r="AL315" s="961">
        <v>360890</v>
      </c>
      <c r="AM315" s="961">
        <v>103770</v>
      </c>
      <c r="AN315" s="961">
        <v>0</v>
      </c>
      <c r="AO315" s="961">
        <v>456619</v>
      </c>
      <c r="AP315" s="961">
        <v>311885</v>
      </c>
      <c r="AQ315" s="961">
        <v>283156</v>
      </c>
      <c r="AR315" s="961">
        <v>0</v>
      </c>
      <c r="AS315" s="961">
        <v>30453</v>
      </c>
      <c r="AT315" s="961">
        <v>0</v>
      </c>
      <c r="AU315" s="961">
        <v>152187</v>
      </c>
      <c r="AV315" s="961">
        <v>29717</v>
      </c>
      <c r="AW315" s="961">
        <v>0</v>
      </c>
      <c r="AX315" s="961">
        <v>242557</v>
      </c>
      <c r="AY315" s="961">
        <v>18187201</v>
      </c>
      <c r="AZ315" s="961">
        <v>128474</v>
      </c>
      <c r="BA315" s="961">
        <v>0</v>
      </c>
      <c r="BB315" s="961">
        <v>30907</v>
      </c>
      <c r="BC315" s="961">
        <v>1140442</v>
      </c>
      <c r="BD315" s="961">
        <v>43630</v>
      </c>
      <c r="BE315" s="961">
        <v>0</v>
      </c>
      <c r="BF315" s="961">
        <v>74326</v>
      </c>
      <c r="BG315" s="961">
        <v>87065</v>
      </c>
      <c r="BH315" s="961">
        <v>1966774</v>
      </c>
      <c r="BI315" s="961">
        <v>209023</v>
      </c>
      <c r="BJ315" s="961">
        <v>52272</v>
      </c>
      <c r="BK315" s="915"/>
      <c r="BL315" s="915"/>
    </row>
    <row r="316" spans="1:64" s="371" customFormat="1" x14ac:dyDescent="0.3">
      <c r="A316" s="947">
        <v>663</v>
      </c>
      <c r="B316" s="1017">
        <v>663</v>
      </c>
      <c r="C316" s="947">
        <v>663</v>
      </c>
      <c r="D316" s="947" t="s">
        <v>535</v>
      </c>
      <c r="E316" s="947"/>
      <c r="F316" s="958">
        <v>193606</v>
      </c>
      <c r="G316" s="959">
        <v>378685</v>
      </c>
      <c r="H316" s="959">
        <v>394972</v>
      </c>
      <c r="I316" s="959">
        <v>116031</v>
      </c>
      <c r="J316" s="959">
        <v>454458</v>
      </c>
      <c r="K316" s="959">
        <v>134198</v>
      </c>
      <c r="L316" s="960">
        <v>87115</v>
      </c>
      <c r="M316" s="961">
        <v>0</v>
      </c>
      <c r="N316" s="961">
        <v>233750</v>
      </c>
      <c r="O316" s="962">
        <v>97158</v>
      </c>
      <c r="P316" s="962">
        <v>201032</v>
      </c>
      <c r="Q316" s="962">
        <v>498759</v>
      </c>
      <c r="R316" s="962">
        <v>205823</v>
      </c>
      <c r="S316" s="962">
        <v>64317</v>
      </c>
      <c r="T316" s="962">
        <v>0</v>
      </c>
      <c r="U316" s="962">
        <v>582022</v>
      </c>
      <c r="V316" s="962">
        <v>560880</v>
      </c>
      <c r="W316" s="962">
        <v>102569</v>
      </c>
      <c r="X316" s="962">
        <v>60772</v>
      </c>
      <c r="Y316" s="962">
        <v>1024056</v>
      </c>
      <c r="Z316" s="962">
        <v>0</v>
      </c>
      <c r="AA316" s="962">
        <v>0</v>
      </c>
      <c r="AB316" s="962">
        <v>0</v>
      </c>
      <c r="AC316" s="962">
        <v>295013</v>
      </c>
      <c r="AD316" s="961">
        <v>0</v>
      </c>
      <c r="AE316" s="961">
        <v>908038</v>
      </c>
      <c r="AF316" s="961">
        <v>68455</v>
      </c>
      <c r="AG316" s="961">
        <v>633699</v>
      </c>
      <c r="AH316" s="961">
        <v>290519</v>
      </c>
      <c r="AI316" s="961">
        <v>112136</v>
      </c>
      <c r="AJ316" s="961">
        <v>928920</v>
      </c>
      <c r="AK316" s="961">
        <v>457808</v>
      </c>
      <c r="AL316" s="961">
        <v>715951</v>
      </c>
      <c r="AM316" s="961">
        <v>0</v>
      </c>
      <c r="AN316" s="961">
        <v>355028</v>
      </c>
      <c r="AO316" s="961">
        <v>553062</v>
      </c>
      <c r="AP316" s="961">
        <v>324471</v>
      </c>
      <c r="AQ316" s="961">
        <v>226064</v>
      </c>
      <c r="AR316" s="961">
        <v>300238</v>
      </c>
      <c r="AS316" s="961">
        <v>0</v>
      </c>
      <c r="AT316" s="961">
        <v>317745</v>
      </c>
      <c r="AU316" s="961">
        <v>105153</v>
      </c>
      <c r="AV316" s="961">
        <v>234928</v>
      </c>
      <c r="AW316" s="961">
        <v>0</v>
      </c>
      <c r="AX316" s="961">
        <v>228839</v>
      </c>
      <c r="AY316" s="961">
        <v>3829817</v>
      </c>
      <c r="AZ316" s="961">
        <v>178794</v>
      </c>
      <c r="BA316" s="961">
        <v>274820</v>
      </c>
      <c r="BB316" s="961">
        <v>133881</v>
      </c>
      <c r="BC316" s="961">
        <v>737783</v>
      </c>
      <c r="BD316" s="961">
        <v>32095</v>
      </c>
      <c r="BE316" s="961">
        <v>0</v>
      </c>
      <c r="BF316" s="961">
        <v>354998</v>
      </c>
      <c r="BG316" s="961">
        <v>439155</v>
      </c>
      <c r="BH316" s="961">
        <v>1749399</v>
      </c>
      <c r="BI316" s="961">
        <v>274690</v>
      </c>
      <c r="BJ316" s="961">
        <v>76580</v>
      </c>
      <c r="BK316" s="915"/>
      <c r="BL316" s="915"/>
    </row>
    <row r="317" spans="1:64" s="371" customFormat="1" x14ac:dyDescent="0.3">
      <c r="A317" s="947">
        <v>906</v>
      </c>
      <c r="B317" s="947"/>
      <c r="C317" s="947" t="s">
        <v>1067</v>
      </c>
      <c r="D317" s="947" t="s">
        <v>584</v>
      </c>
      <c r="E317" s="947"/>
      <c r="F317" s="958">
        <v>1</v>
      </c>
      <c r="G317" s="959">
        <v>1</v>
      </c>
      <c r="H317" s="959">
        <v>1</v>
      </c>
      <c r="I317" s="959">
        <v>1</v>
      </c>
      <c r="J317" s="959">
        <v>1</v>
      </c>
      <c r="K317" s="959">
        <v>1</v>
      </c>
      <c r="L317" s="960">
        <v>1</v>
      </c>
      <c r="M317" s="961">
        <v>1</v>
      </c>
      <c r="N317" s="961">
        <v>1</v>
      </c>
      <c r="O317" s="962">
        <v>1</v>
      </c>
      <c r="P317" s="962">
        <v>1</v>
      </c>
      <c r="Q317" s="962">
        <v>1</v>
      </c>
      <c r="R317" s="962">
        <v>1</v>
      </c>
      <c r="S317" s="962">
        <v>1</v>
      </c>
      <c r="T317" s="962">
        <v>1</v>
      </c>
      <c r="U317" s="962">
        <v>1</v>
      </c>
      <c r="V317" s="962">
        <v>1</v>
      </c>
      <c r="W317" s="962">
        <v>1</v>
      </c>
      <c r="X317" s="962">
        <v>1</v>
      </c>
      <c r="Y317" s="962">
        <v>1</v>
      </c>
      <c r="Z317" s="962">
        <v>1</v>
      </c>
      <c r="AA317" s="962">
        <v>1</v>
      </c>
      <c r="AB317" s="962">
        <v>1</v>
      </c>
      <c r="AC317" s="962">
        <v>1</v>
      </c>
      <c r="AD317" s="961">
        <v>1</v>
      </c>
      <c r="AE317" s="961">
        <v>1</v>
      </c>
      <c r="AF317" s="961">
        <v>1</v>
      </c>
      <c r="AG317" s="961">
        <v>1</v>
      </c>
      <c r="AH317" s="961">
        <v>1</v>
      </c>
      <c r="AI317" s="961">
        <v>1</v>
      </c>
      <c r="AJ317" s="961">
        <v>1</v>
      </c>
      <c r="AK317" s="961">
        <v>1</v>
      </c>
      <c r="AL317" s="961">
        <v>1</v>
      </c>
      <c r="AM317" s="961">
        <v>1</v>
      </c>
      <c r="AN317" s="961">
        <v>1</v>
      </c>
      <c r="AO317" s="961">
        <v>1</v>
      </c>
      <c r="AP317" s="961">
        <v>1</v>
      </c>
      <c r="AQ317" s="961">
        <v>1</v>
      </c>
      <c r="AR317" s="961">
        <v>1</v>
      </c>
      <c r="AS317" s="961">
        <v>1</v>
      </c>
      <c r="AT317" s="961">
        <v>1</v>
      </c>
      <c r="AU317" s="961">
        <v>1</v>
      </c>
      <c r="AV317" s="961">
        <v>1</v>
      </c>
      <c r="AW317" s="961">
        <v>1</v>
      </c>
      <c r="AX317" s="961">
        <v>1</v>
      </c>
      <c r="AY317" s="961">
        <v>1</v>
      </c>
      <c r="AZ317" s="961">
        <v>1</v>
      </c>
      <c r="BA317" s="961">
        <v>1</v>
      </c>
      <c r="BB317" s="961">
        <v>1</v>
      </c>
      <c r="BC317" s="961">
        <v>1</v>
      </c>
      <c r="BD317" s="961">
        <v>1</v>
      </c>
      <c r="BE317" s="961">
        <v>1</v>
      </c>
      <c r="BF317" s="961">
        <v>1</v>
      </c>
      <c r="BG317" s="961">
        <v>1</v>
      </c>
      <c r="BH317" s="961">
        <v>1</v>
      </c>
      <c r="BI317" s="961">
        <v>1</v>
      </c>
      <c r="BJ317" s="961">
        <v>1</v>
      </c>
      <c r="BK317" s="915"/>
      <c r="BL317" s="915"/>
    </row>
    <row r="318" spans="1:64" s="371" customFormat="1" x14ac:dyDescent="0.3">
      <c r="A318" s="947">
        <v>907</v>
      </c>
      <c r="B318" s="947"/>
      <c r="C318" s="947" t="s">
        <v>1067</v>
      </c>
      <c r="D318" s="947" t="s">
        <v>585</v>
      </c>
      <c r="E318" s="947"/>
      <c r="F318" s="958">
        <v>2</v>
      </c>
      <c r="G318" s="959">
        <v>2</v>
      </c>
      <c r="H318" s="959">
        <v>2</v>
      </c>
      <c r="I318" s="959">
        <v>2</v>
      </c>
      <c r="J318" s="959">
        <v>2</v>
      </c>
      <c r="K318" s="959">
        <v>2</v>
      </c>
      <c r="L318" s="960">
        <v>2</v>
      </c>
      <c r="M318" s="961">
        <v>2</v>
      </c>
      <c r="N318" s="961">
        <v>2</v>
      </c>
      <c r="O318" s="962">
        <v>2</v>
      </c>
      <c r="P318" s="962">
        <v>2</v>
      </c>
      <c r="Q318" s="962">
        <v>2</v>
      </c>
      <c r="R318" s="962">
        <v>2</v>
      </c>
      <c r="S318" s="962">
        <v>2</v>
      </c>
      <c r="T318" s="962">
        <v>2</v>
      </c>
      <c r="U318" s="962">
        <v>2</v>
      </c>
      <c r="V318" s="962">
        <v>2</v>
      </c>
      <c r="W318" s="962">
        <v>2</v>
      </c>
      <c r="X318" s="962">
        <v>2</v>
      </c>
      <c r="Y318" s="962">
        <v>2</v>
      </c>
      <c r="Z318" s="962">
        <v>2</v>
      </c>
      <c r="AA318" s="962">
        <v>2</v>
      </c>
      <c r="AB318" s="962">
        <v>2</v>
      </c>
      <c r="AC318" s="962">
        <v>2</v>
      </c>
      <c r="AD318" s="961">
        <v>2</v>
      </c>
      <c r="AE318" s="961">
        <v>2</v>
      </c>
      <c r="AF318" s="961">
        <v>2</v>
      </c>
      <c r="AG318" s="961">
        <v>2</v>
      </c>
      <c r="AH318" s="961">
        <v>2</v>
      </c>
      <c r="AI318" s="961">
        <v>2</v>
      </c>
      <c r="AJ318" s="961">
        <v>2</v>
      </c>
      <c r="AK318" s="961">
        <v>2</v>
      </c>
      <c r="AL318" s="961">
        <v>2</v>
      </c>
      <c r="AM318" s="961">
        <v>2</v>
      </c>
      <c r="AN318" s="961">
        <v>2</v>
      </c>
      <c r="AO318" s="961">
        <v>2</v>
      </c>
      <c r="AP318" s="961">
        <v>2</v>
      </c>
      <c r="AQ318" s="961">
        <v>2</v>
      </c>
      <c r="AR318" s="961">
        <v>2</v>
      </c>
      <c r="AS318" s="961">
        <v>2</v>
      </c>
      <c r="AT318" s="961">
        <v>2</v>
      </c>
      <c r="AU318" s="961">
        <v>2</v>
      </c>
      <c r="AV318" s="961">
        <v>2</v>
      </c>
      <c r="AW318" s="961">
        <v>2</v>
      </c>
      <c r="AX318" s="961">
        <v>2</v>
      </c>
      <c r="AY318" s="961">
        <v>2</v>
      </c>
      <c r="AZ318" s="961">
        <v>2</v>
      </c>
      <c r="BA318" s="961">
        <v>2</v>
      </c>
      <c r="BB318" s="961">
        <v>2</v>
      </c>
      <c r="BC318" s="961">
        <v>2</v>
      </c>
      <c r="BD318" s="961">
        <v>2</v>
      </c>
      <c r="BE318" s="961">
        <v>2</v>
      </c>
      <c r="BF318" s="961">
        <v>2</v>
      </c>
      <c r="BG318" s="961">
        <v>2</v>
      </c>
      <c r="BH318" s="961">
        <v>2</v>
      </c>
      <c r="BI318" s="961">
        <v>2</v>
      </c>
      <c r="BJ318" s="961">
        <v>2</v>
      </c>
      <c r="BK318" s="915"/>
      <c r="BL318" s="915"/>
    </row>
    <row r="319" spans="1:64" s="371" customFormat="1" x14ac:dyDescent="0.3">
      <c r="A319" s="947">
        <v>951</v>
      </c>
      <c r="B319" s="947"/>
      <c r="C319" s="947" t="s">
        <v>1067</v>
      </c>
      <c r="D319" s="947" t="s">
        <v>586</v>
      </c>
      <c r="E319" s="947"/>
      <c r="F319" s="958">
        <v>2</v>
      </c>
      <c r="G319" s="959">
        <v>2</v>
      </c>
      <c r="H319" s="959">
        <v>2</v>
      </c>
      <c r="I319" s="959">
        <v>2</v>
      </c>
      <c r="J319" s="959">
        <v>2</v>
      </c>
      <c r="K319" s="959">
        <v>2</v>
      </c>
      <c r="L319" s="960">
        <v>2</v>
      </c>
      <c r="M319" s="961">
        <v>2</v>
      </c>
      <c r="N319" s="961">
        <v>2</v>
      </c>
      <c r="O319" s="962">
        <v>2</v>
      </c>
      <c r="P319" s="962">
        <v>2</v>
      </c>
      <c r="Q319" s="962">
        <v>2</v>
      </c>
      <c r="R319" s="962">
        <v>2</v>
      </c>
      <c r="S319" s="962">
        <v>2</v>
      </c>
      <c r="T319" s="962">
        <v>2</v>
      </c>
      <c r="U319" s="962">
        <v>2</v>
      </c>
      <c r="V319" s="962">
        <v>2</v>
      </c>
      <c r="W319" s="962">
        <v>2</v>
      </c>
      <c r="X319" s="962">
        <v>2</v>
      </c>
      <c r="Y319" s="962">
        <v>2</v>
      </c>
      <c r="Z319" s="962">
        <v>2</v>
      </c>
      <c r="AA319" s="962">
        <v>2</v>
      </c>
      <c r="AB319" s="962">
        <v>2</v>
      </c>
      <c r="AC319" s="962">
        <v>2</v>
      </c>
      <c r="AD319" s="961">
        <v>2</v>
      </c>
      <c r="AE319" s="961">
        <v>2</v>
      </c>
      <c r="AF319" s="961">
        <v>2</v>
      </c>
      <c r="AG319" s="961">
        <v>2</v>
      </c>
      <c r="AH319" s="961">
        <v>2</v>
      </c>
      <c r="AI319" s="961">
        <v>2</v>
      </c>
      <c r="AJ319" s="961">
        <v>2</v>
      </c>
      <c r="AK319" s="961">
        <v>2</v>
      </c>
      <c r="AL319" s="961">
        <v>2</v>
      </c>
      <c r="AM319" s="961">
        <v>2</v>
      </c>
      <c r="AN319" s="961">
        <v>2</v>
      </c>
      <c r="AO319" s="961">
        <v>2</v>
      </c>
      <c r="AP319" s="961">
        <v>2</v>
      </c>
      <c r="AQ319" s="961">
        <v>2</v>
      </c>
      <c r="AR319" s="961">
        <v>2</v>
      </c>
      <c r="AS319" s="961">
        <v>2</v>
      </c>
      <c r="AT319" s="961">
        <v>2</v>
      </c>
      <c r="AU319" s="961">
        <v>2</v>
      </c>
      <c r="AV319" s="961">
        <v>2</v>
      </c>
      <c r="AW319" s="961">
        <v>2</v>
      </c>
      <c r="AX319" s="961">
        <v>2</v>
      </c>
      <c r="AY319" s="961">
        <v>2</v>
      </c>
      <c r="AZ319" s="961">
        <v>2</v>
      </c>
      <c r="BA319" s="961">
        <v>2</v>
      </c>
      <c r="BB319" s="961">
        <v>2</v>
      </c>
      <c r="BC319" s="961">
        <v>2</v>
      </c>
      <c r="BD319" s="961">
        <v>2</v>
      </c>
      <c r="BE319" s="961">
        <v>2</v>
      </c>
      <c r="BF319" s="961">
        <v>2</v>
      </c>
      <c r="BG319" s="961">
        <v>2</v>
      </c>
      <c r="BH319" s="961">
        <v>2</v>
      </c>
      <c r="BI319" s="961">
        <v>2</v>
      </c>
      <c r="BJ319" s="961">
        <v>2</v>
      </c>
      <c r="BK319" s="915"/>
      <c r="BL319" s="915"/>
    </row>
    <row r="320" spans="1:64" s="371" customFormat="1" x14ac:dyDescent="0.3">
      <c r="A320" s="947">
        <v>953</v>
      </c>
      <c r="B320" s="947"/>
      <c r="C320" s="947" t="s">
        <v>1067</v>
      </c>
      <c r="D320" s="947" t="s">
        <v>587</v>
      </c>
      <c r="E320" s="947"/>
      <c r="F320" s="958">
        <v>2</v>
      </c>
      <c r="G320" s="959">
        <v>2</v>
      </c>
      <c r="H320" s="959">
        <v>2</v>
      </c>
      <c r="I320" s="959">
        <v>2</v>
      </c>
      <c r="J320" s="959">
        <v>2</v>
      </c>
      <c r="K320" s="959">
        <v>2</v>
      </c>
      <c r="L320" s="960">
        <v>2</v>
      </c>
      <c r="M320" s="961">
        <v>2</v>
      </c>
      <c r="N320" s="961">
        <v>2</v>
      </c>
      <c r="O320" s="962">
        <v>2</v>
      </c>
      <c r="P320" s="962">
        <v>2</v>
      </c>
      <c r="Q320" s="962">
        <v>2</v>
      </c>
      <c r="R320" s="962">
        <v>2</v>
      </c>
      <c r="S320" s="962">
        <v>2</v>
      </c>
      <c r="T320" s="962">
        <v>2</v>
      </c>
      <c r="U320" s="962">
        <v>2</v>
      </c>
      <c r="V320" s="962">
        <v>2</v>
      </c>
      <c r="W320" s="962">
        <v>2</v>
      </c>
      <c r="X320" s="962">
        <v>2</v>
      </c>
      <c r="Y320" s="962">
        <v>2</v>
      </c>
      <c r="Z320" s="962">
        <v>2</v>
      </c>
      <c r="AA320" s="962">
        <v>2</v>
      </c>
      <c r="AB320" s="962">
        <v>2</v>
      </c>
      <c r="AC320" s="962">
        <v>2</v>
      </c>
      <c r="AD320" s="961">
        <v>2</v>
      </c>
      <c r="AE320" s="961">
        <v>2</v>
      </c>
      <c r="AF320" s="961">
        <v>2</v>
      </c>
      <c r="AG320" s="961">
        <v>2</v>
      </c>
      <c r="AH320" s="961">
        <v>2</v>
      </c>
      <c r="AI320" s="961">
        <v>2</v>
      </c>
      <c r="AJ320" s="961">
        <v>2</v>
      </c>
      <c r="AK320" s="961">
        <v>2</v>
      </c>
      <c r="AL320" s="961">
        <v>2</v>
      </c>
      <c r="AM320" s="961">
        <v>2</v>
      </c>
      <c r="AN320" s="961">
        <v>2</v>
      </c>
      <c r="AO320" s="961">
        <v>2</v>
      </c>
      <c r="AP320" s="961">
        <v>2</v>
      </c>
      <c r="AQ320" s="961">
        <v>2</v>
      </c>
      <c r="AR320" s="961">
        <v>2</v>
      </c>
      <c r="AS320" s="961">
        <v>2</v>
      </c>
      <c r="AT320" s="961">
        <v>2</v>
      </c>
      <c r="AU320" s="961">
        <v>2</v>
      </c>
      <c r="AV320" s="961">
        <v>2</v>
      </c>
      <c r="AW320" s="961">
        <v>2</v>
      </c>
      <c r="AX320" s="961">
        <v>2</v>
      </c>
      <c r="AY320" s="961">
        <v>2</v>
      </c>
      <c r="AZ320" s="961">
        <v>2</v>
      </c>
      <c r="BA320" s="961">
        <v>2</v>
      </c>
      <c r="BB320" s="961">
        <v>2</v>
      </c>
      <c r="BC320" s="961">
        <v>2</v>
      </c>
      <c r="BD320" s="961">
        <v>2</v>
      </c>
      <c r="BE320" s="961">
        <v>2</v>
      </c>
      <c r="BF320" s="961">
        <v>2</v>
      </c>
      <c r="BG320" s="961">
        <v>2</v>
      </c>
      <c r="BH320" s="961">
        <v>2</v>
      </c>
      <c r="BI320" s="961">
        <v>2</v>
      </c>
      <c r="BJ320" s="961">
        <v>2</v>
      </c>
      <c r="BK320" s="915"/>
      <c r="BL320" s="915"/>
    </row>
    <row r="321" spans="1:64" s="371" customFormat="1" x14ac:dyDescent="0.3">
      <c r="A321" s="947">
        <v>955</v>
      </c>
      <c r="B321" s="947"/>
      <c r="C321" s="947" t="s">
        <v>1067</v>
      </c>
      <c r="D321" s="947" t="s">
        <v>597</v>
      </c>
      <c r="E321" s="947"/>
      <c r="F321" s="958">
        <v>1</v>
      </c>
      <c r="G321" s="959">
        <v>0</v>
      </c>
      <c r="H321" s="959">
        <v>0</v>
      </c>
      <c r="I321" s="959">
        <v>1</v>
      </c>
      <c r="J321" s="959">
        <v>1</v>
      </c>
      <c r="K321" s="959">
        <v>0</v>
      </c>
      <c r="L321" s="960">
        <v>0</v>
      </c>
      <c r="M321" s="961">
        <v>0</v>
      </c>
      <c r="N321" s="961">
        <v>0</v>
      </c>
      <c r="O321" s="962">
        <v>0</v>
      </c>
      <c r="P321" s="962">
        <v>0</v>
      </c>
      <c r="Q321" s="962">
        <v>0</v>
      </c>
      <c r="R321" s="962">
        <v>0</v>
      </c>
      <c r="S321" s="962">
        <v>0</v>
      </c>
      <c r="T321" s="962">
        <v>0</v>
      </c>
      <c r="U321" s="962">
        <v>1</v>
      </c>
      <c r="V321" s="962">
        <v>0</v>
      </c>
      <c r="W321" s="962">
        <v>1</v>
      </c>
      <c r="X321" s="962">
        <v>3</v>
      </c>
      <c r="Y321" s="962">
        <v>0</v>
      </c>
      <c r="Z321" s="962">
        <v>0</v>
      </c>
      <c r="AA321" s="962">
        <v>0</v>
      </c>
      <c r="AB321" s="962">
        <v>0</v>
      </c>
      <c r="AC321" s="962">
        <v>0</v>
      </c>
      <c r="AD321" s="961">
        <v>0</v>
      </c>
      <c r="AE321" s="961">
        <v>0</v>
      </c>
      <c r="AF321" s="961">
        <v>0</v>
      </c>
      <c r="AG321" s="961">
        <v>1</v>
      </c>
      <c r="AH321" s="961">
        <v>0</v>
      </c>
      <c r="AI321" s="961">
        <v>0</v>
      </c>
      <c r="AJ321" s="961">
        <v>0</v>
      </c>
      <c r="AK321" s="961">
        <v>0</v>
      </c>
      <c r="AL321" s="961">
        <v>1</v>
      </c>
      <c r="AM321" s="961">
        <v>0</v>
      </c>
      <c r="AN321" s="961">
        <v>0</v>
      </c>
      <c r="AO321" s="961">
        <v>3</v>
      </c>
      <c r="AP321" s="961">
        <v>0</v>
      </c>
      <c r="AQ321" s="961">
        <v>0</v>
      </c>
      <c r="AR321" s="961">
        <v>0</v>
      </c>
      <c r="AS321" s="961">
        <v>0</v>
      </c>
      <c r="AT321" s="961">
        <v>0</v>
      </c>
      <c r="AU321" s="961">
        <v>0</v>
      </c>
      <c r="AV321" s="961">
        <v>0</v>
      </c>
      <c r="AW321" s="961">
        <v>0</v>
      </c>
      <c r="AX321" s="961">
        <v>2</v>
      </c>
      <c r="AY321" s="961">
        <v>0</v>
      </c>
      <c r="AZ321" s="961">
        <v>0</v>
      </c>
      <c r="BA321" s="961">
        <v>5</v>
      </c>
      <c r="BB321" s="961">
        <v>1</v>
      </c>
      <c r="BC321" s="961">
        <v>0</v>
      </c>
      <c r="BD321" s="961">
        <v>0</v>
      </c>
      <c r="BE321" s="961">
        <v>1</v>
      </c>
      <c r="BF321" s="961">
        <v>0</v>
      </c>
      <c r="BG321" s="961">
        <v>0</v>
      </c>
      <c r="BH321" s="961">
        <v>2</v>
      </c>
      <c r="BI321" s="961">
        <v>1</v>
      </c>
      <c r="BJ321" s="961">
        <v>0</v>
      </c>
      <c r="BK321" s="915"/>
      <c r="BL321" s="915"/>
    </row>
    <row r="322" spans="1:64" s="371" customFormat="1" x14ac:dyDescent="0.3">
      <c r="A322" s="947">
        <v>957</v>
      </c>
      <c r="B322" s="947"/>
      <c r="C322" s="947" t="s">
        <v>1067</v>
      </c>
      <c r="D322" s="947" t="s">
        <v>598</v>
      </c>
      <c r="E322" s="947"/>
      <c r="F322" s="958">
        <v>0</v>
      </c>
      <c r="G322" s="959">
        <v>0</v>
      </c>
      <c r="H322" s="959">
        <v>1</v>
      </c>
      <c r="I322" s="959">
        <v>0</v>
      </c>
      <c r="J322" s="959">
        <v>0</v>
      </c>
      <c r="K322" s="959">
        <v>0</v>
      </c>
      <c r="L322" s="960">
        <v>0</v>
      </c>
      <c r="M322" s="961">
        <v>0</v>
      </c>
      <c r="N322" s="961">
        <v>0</v>
      </c>
      <c r="O322" s="962">
        <v>0</v>
      </c>
      <c r="P322" s="962">
        <v>0</v>
      </c>
      <c r="Q322" s="962">
        <v>0</v>
      </c>
      <c r="R322" s="962">
        <v>0</v>
      </c>
      <c r="S322" s="962">
        <v>0</v>
      </c>
      <c r="T322" s="962">
        <v>0</v>
      </c>
      <c r="U322" s="962">
        <v>0</v>
      </c>
      <c r="V322" s="962">
        <v>0</v>
      </c>
      <c r="W322" s="962">
        <v>0</v>
      </c>
      <c r="X322" s="962">
        <v>0</v>
      </c>
      <c r="Y322" s="962">
        <v>0</v>
      </c>
      <c r="Z322" s="962">
        <v>0</v>
      </c>
      <c r="AA322" s="962">
        <v>0</v>
      </c>
      <c r="AB322" s="962">
        <v>0</v>
      </c>
      <c r="AC322" s="962">
        <v>0</v>
      </c>
      <c r="AD322" s="961">
        <v>0</v>
      </c>
      <c r="AE322" s="961">
        <v>0</v>
      </c>
      <c r="AF322" s="961">
        <v>0</v>
      </c>
      <c r="AG322" s="961">
        <v>0</v>
      </c>
      <c r="AH322" s="961">
        <v>0</v>
      </c>
      <c r="AI322" s="961">
        <v>0</v>
      </c>
      <c r="AJ322" s="961">
        <v>0</v>
      </c>
      <c r="AK322" s="961">
        <v>0</v>
      </c>
      <c r="AL322" s="961">
        <v>0</v>
      </c>
      <c r="AM322" s="961">
        <v>0</v>
      </c>
      <c r="AN322" s="961">
        <v>0</v>
      </c>
      <c r="AO322" s="961">
        <v>0</v>
      </c>
      <c r="AP322" s="961">
        <v>0</v>
      </c>
      <c r="AQ322" s="961">
        <v>0</v>
      </c>
      <c r="AR322" s="961">
        <v>0</v>
      </c>
      <c r="AS322" s="961">
        <v>0</v>
      </c>
      <c r="AT322" s="961">
        <v>1</v>
      </c>
      <c r="AU322" s="961">
        <v>0</v>
      </c>
      <c r="AV322" s="961">
        <v>0</v>
      </c>
      <c r="AW322" s="961">
        <v>0</v>
      </c>
      <c r="AX322" s="961">
        <v>1</v>
      </c>
      <c r="AY322" s="961">
        <v>0</v>
      </c>
      <c r="AZ322" s="961">
        <v>1</v>
      </c>
      <c r="BA322" s="961">
        <v>0</v>
      </c>
      <c r="BB322" s="961">
        <v>0</v>
      </c>
      <c r="BC322" s="961">
        <v>4</v>
      </c>
      <c r="BD322" s="961">
        <v>0</v>
      </c>
      <c r="BE322" s="961">
        <v>0</v>
      </c>
      <c r="BF322" s="961">
        <v>0</v>
      </c>
      <c r="BG322" s="961">
        <v>0</v>
      </c>
      <c r="BH322" s="961">
        <v>1</v>
      </c>
      <c r="BI322" s="961">
        <v>0</v>
      </c>
      <c r="BJ322" s="961">
        <v>0</v>
      </c>
      <c r="BK322" s="915"/>
      <c r="BL322" s="915"/>
    </row>
    <row r="323" spans="1:64" s="371" customFormat="1" x14ac:dyDescent="0.3">
      <c r="A323" s="947">
        <v>959</v>
      </c>
      <c r="B323" s="947"/>
      <c r="C323" s="947" t="s">
        <v>1067</v>
      </c>
      <c r="D323" s="947" t="s">
        <v>588</v>
      </c>
      <c r="E323" s="947"/>
      <c r="F323" s="958">
        <v>2</v>
      </c>
      <c r="G323" s="959">
        <v>2</v>
      </c>
      <c r="H323" s="959">
        <v>2</v>
      </c>
      <c r="I323" s="959">
        <v>2</v>
      </c>
      <c r="J323" s="959">
        <v>2</v>
      </c>
      <c r="K323" s="959">
        <v>2</v>
      </c>
      <c r="L323" s="960">
        <v>2</v>
      </c>
      <c r="M323" s="961">
        <v>2</v>
      </c>
      <c r="N323" s="961">
        <v>2</v>
      </c>
      <c r="O323" s="962">
        <v>3</v>
      </c>
      <c r="P323" s="962">
        <v>2</v>
      </c>
      <c r="Q323" s="962">
        <v>3</v>
      </c>
      <c r="R323" s="962">
        <v>2</v>
      </c>
      <c r="S323" s="962">
        <v>3</v>
      </c>
      <c r="T323" s="962">
        <v>2</v>
      </c>
      <c r="U323" s="962">
        <v>2</v>
      </c>
      <c r="V323" s="962">
        <v>3</v>
      </c>
      <c r="W323" s="962">
        <v>2</v>
      </c>
      <c r="X323" s="962">
        <v>2</v>
      </c>
      <c r="Y323" s="962">
        <v>2</v>
      </c>
      <c r="Z323" s="962">
        <v>2</v>
      </c>
      <c r="AA323" s="962">
        <v>2</v>
      </c>
      <c r="AB323" s="962">
        <v>3</v>
      </c>
      <c r="AC323" s="962">
        <v>2</v>
      </c>
      <c r="AD323" s="961">
        <v>2</v>
      </c>
      <c r="AE323" s="961">
        <v>3</v>
      </c>
      <c r="AF323" s="961">
        <v>2</v>
      </c>
      <c r="AG323" s="961">
        <v>3</v>
      </c>
      <c r="AH323" s="961">
        <v>2</v>
      </c>
      <c r="AI323" s="961">
        <v>2</v>
      </c>
      <c r="AJ323" s="961">
        <v>2</v>
      </c>
      <c r="AK323" s="961">
        <v>2</v>
      </c>
      <c r="AL323" s="961">
        <v>2</v>
      </c>
      <c r="AM323" s="961">
        <v>2</v>
      </c>
      <c r="AN323" s="961">
        <v>2</v>
      </c>
      <c r="AO323" s="961">
        <v>2</v>
      </c>
      <c r="AP323" s="961">
        <v>2</v>
      </c>
      <c r="AQ323" s="961">
        <v>3</v>
      </c>
      <c r="AR323" s="961">
        <v>2</v>
      </c>
      <c r="AS323" s="961">
        <v>2</v>
      </c>
      <c r="AT323" s="961">
        <v>2</v>
      </c>
      <c r="AU323" s="961">
        <v>2</v>
      </c>
      <c r="AV323" s="961">
        <v>2</v>
      </c>
      <c r="AW323" s="961">
        <v>2</v>
      </c>
      <c r="AX323" s="961">
        <v>3</v>
      </c>
      <c r="AY323" s="961">
        <v>3</v>
      </c>
      <c r="AZ323" s="961">
        <v>2</v>
      </c>
      <c r="BA323" s="961">
        <v>2</v>
      </c>
      <c r="BB323" s="961">
        <v>2</v>
      </c>
      <c r="BC323" s="961">
        <v>2</v>
      </c>
      <c r="BD323" s="961">
        <v>2</v>
      </c>
      <c r="BE323" s="961">
        <v>2</v>
      </c>
      <c r="BF323" s="961">
        <v>3</v>
      </c>
      <c r="BG323" s="961">
        <v>2</v>
      </c>
      <c r="BH323" s="961">
        <v>3</v>
      </c>
      <c r="BI323" s="961">
        <v>2</v>
      </c>
      <c r="BJ323" s="961">
        <v>2</v>
      </c>
      <c r="BK323" s="915"/>
      <c r="BL323" s="915"/>
    </row>
    <row r="324" spans="1:64" s="371" customFormat="1" x14ac:dyDescent="0.3">
      <c r="A324" s="947">
        <v>961</v>
      </c>
      <c r="B324" s="947"/>
      <c r="C324" s="947" t="s">
        <v>1067</v>
      </c>
      <c r="D324" s="947" t="s">
        <v>589</v>
      </c>
      <c r="E324" s="947"/>
      <c r="F324" s="958">
        <v>2</v>
      </c>
      <c r="G324" s="959">
        <v>2</v>
      </c>
      <c r="H324" s="959">
        <v>2</v>
      </c>
      <c r="I324" s="959">
        <v>2</v>
      </c>
      <c r="J324" s="959">
        <v>2</v>
      </c>
      <c r="K324" s="959">
        <v>2</v>
      </c>
      <c r="L324" s="960">
        <v>2</v>
      </c>
      <c r="M324" s="961">
        <v>2</v>
      </c>
      <c r="N324" s="961">
        <v>2</v>
      </c>
      <c r="O324" s="962">
        <v>3</v>
      </c>
      <c r="P324" s="962">
        <v>2</v>
      </c>
      <c r="Q324" s="962">
        <v>3</v>
      </c>
      <c r="R324" s="962">
        <v>2</v>
      </c>
      <c r="S324" s="962">
        <v>3</v>
      </c>
      <c r="T324" s="962">
        <v>2</v>
      </c>
      <c r="U324" s="962">
        <v>2</v>
      </c>
      <c r="V324" s="962">
        <v>3</v>
      </c>
      <c r="W324" s="962">
        <v>2</v>
      </c>
      <c r="X324" s="962">
        <v>2</v>
      </c>
      <c r="Y324" s="962">
        <v>2</v>
      </c>
      <c r="Z324" s="962">
        <v>2</v>
      </c>
      <c r="AA324" s="962">
        <v>3</v>
      </c>
      <c r="AB324" s="962">
        <v>2</v>
      </c>
      <c r="AC324" s="962">
        <v>2</v>
      </c>
      <c r="AD324" s="961">
        <v>2</v>
      </c>
      <c r="AE324" s="961">
        <v>3</v>
      </c>
      <c r="AF324" s="961">
        <v>2</v>
      </c>
      <c r="AG324" s="961">
        <v>3</v>
      </c>
      <c r="AH324" s="961">
        <v>2</v>
      </c>
      <c r="AI324" s="961">
        <v>2</v>
      </c>
      <c r="AJ324" s="961">
        <v>2</v>
      </c>
      <c r="AK324" s="961">
        <v>2</v>
      </c>
      <c r="AL324" s="961">
        <v>2</v>
      </c>
      <c r="AM324" s="961">
        <v>2</v>
      </c>
      <c r="AN324" s="961">
        <v>2</v>
      </c>
      <c r="AO324" s="961">
        <v>2</v>
      </c>
      <c r="AP324" s="961">
        <v>2</v>
      </c>
      <c r="AQ324" s="961">
        <v>3</v>
      </c>
      <c r="AR324" s="961">
        <v>2</v>
      </c>
      <c r="AS324" s="961">
        <v>2</v>
      </c>
      <c r="AT324" s="961">
        <v>2</v>
      </c>
      <c r="AU324" s="961">
        <v>2</v>
      </c>
      <c r="AV324" s="961">
        <v>3</v>
      </c>
      <c r="AW324" s="961">
        <v>2</v>
      </c>
      <c r="AX324" s="961">
        <v>3</v>
      </c>
      <c r="AY324" s="961">
        <v>3</v>
      </c>
      <c r="AZ324" s="961">
        <v>2</v>
      </c>
      <c r="BA324" s="961">
        <v>2</v>
      </c>
      <c r="BB324" s="961">
        <v>2</v>
      </c>
      <c r="BC324" s="961">
        <v>2</v>
      </c>
      <c r="BD324" s="961">
        <v>2</v>
      </c>
      <c r="BE324" s="961">
        <v>2</v>
      </c>
      <c r="BF324" s="961">
        <v>3</v>
      </c>
      <c r="BG324" s="961">
        <v>2</v>
      </c>
      <c r="BH324" s="961">
        <v>3</v>
      </c>
      <c r="BI324" s="961">
        <v>2</v>
      </c>
      <c r="BJ324" s="961">
        <v>2</v>
      </c>
      <c r="BK324" s="915"/>
      <c r="BL324" s="915"/>
    </row>
    <row r="325" spans="1:64" s="371" customFormat="1" x14ac:dyDescent="0.3">
      <c r="A325" s="947">
        <v>963</v>
      </c>
      <c r="B325" s="947"/>
      <c r="C325" s="947" t="s">
        <v>1067</v>
      </c>
      <c r="D325" s="947" t="s">
        <v>590</v>
      </c>
      <c r="E325" s="947"/>
      <c r="F325" s="958">
        <v>3</v>
      </c>
      <c r="G325" s="959">
        <v>3</v>
      </c>
      <c r="H325" s="959">
        <v>3</v>
      </c>
      <c r="I325" s="959">
        <v>3</v>
      </c>
      <c r="J325" s="959">
        <v>3</v>
      </c>
      <c r="K325" s="959">
        <v>1</v>
      </c>
      <c r="L325" s="960">
        <v>3</v>
      </c>
      <c r="M325" s="961">
        <v>3</v>
      </c>
      <c r="N325" s="961">
        <v>3</v>
      </c>
      <c r="O325" s="962">
        <v>3</v>
      </c>
      <c r="P325" s="962">
        <v>3</v>
      </c>
      <c r="Q325" s="962">
        <v>3</v>
      </c>
      <c r="R325" s="962">
        <v>3</v>
      </c>
      <c r="S325" s="962">
        <v>3</v>
      </c>
      <c r="T325" s="962">
        <v>3</v>
      </c>
      <c r="U325" s="962">
        <v>3</v>
      </c>
      <c r="V325" s="962">
        <v>3</v>
      </c>
      <c r="W325" s="962">
        <v>3</v>
      </c>
      <c r="X325" s="962">
        <v>3</v>
      </c>
      <c r="Y325" s="962">
        <v>3</v>
      </c>
      <c r="Z325" s="962">
        <v>3</v>
      </c>
      <c r="AA325" s="962">
        <v>3</v>
      </c>
      <c r="AB325" s="962">
        <v>3</v>
      </c>
      <c r="AC325" s="962">
        <v>3</v>
      </c>
      <c r="AD325" s="961">
        <v>3</v>
      </c>
      <c r="AE325" s="961">
        <v>3</v>
      </c>
      <c r="AF325" s="961">
        <v>3</v>
      </c>
      <c r="AG325" s="961">
        <v>3</v>
      </c>
      <c r="AH325" s="961">
        <v>3</v>
      </c>
      <c r="AI325" s="961">
        <v>3</v>
      </c>
      <c r="AJ325" s="961">
        <v>3</v>
      </c>
      <c r="AK325" s="961">
        <v>3</v>
      </c>
      <c r="AL325" s="961">
        <v>3</v>
      </c>
      <c r="AM325" s="961">
        <v>3</v>
      </c>
      <c r="AN325" s="961">
        <v>3</v>
      </c>
      <c r="AO325" s="961">
        <v>3</v>
      </c>
      <c r="AP325" s="961">
        <v>3</v>
      </c>
      <c r="AQ325" s="961">
        <v>3</v>
      </c>
      <c r="AR325" s="961">
        <v>3</v>
      </c>
      <c r="AS325" s="961">
        <v>3</v>
      </c>
      <c r="AT325" s="961">
        <v>3</v>
      </c>
      <c r="AU325" s="961">
        <v>3</v>
      </c>
      <c r="AV325" s="961">
        <v>3</v>
      </c>
      <c r="AW325" s="961">
        <v>3</v>
      </c>
      <c r="AX325" s="961">
        <v>3</v>
      </c>
      <c r="AY325" s="961">
        <v>3</v>
      </c>
      <c r="AZ325" s="961">
        <v>3</v>
      </c>
      <c r="BA325" s="961">
        <v>3</v>
      </c>
      <c r="BB325" s="961">
        <v>3</v>
      </c>
      <c r="BC325" s="961">
        <v>3</v>
      </c>
      <c r="BD325" s="961">
        <v>3</v>
      </c>
      <c r="BE325" s="961">
        <v>3</v>
      </c>
      <c r="BF325" s="961">
        <v>3</v>
      </c>
      <c r="BG325" s="961">
        <v>3</v>
      </c>
      <c r="BH325" s="961">
        <v>3</v>
      </c>
      <c r="BI325" s="961">
        <v>3</v>
      </c>
      <c r="BJ325" s="961">
        <v>3</v>
      </c>
      <c r="BK325" s="915"/>
      <c r="BL325" s="915"/>
    </row>
    <row r="326" spans="1:64" s="371" customFormat="1" x14ac:dyDescent="0.3">
      <c r="A326" s="947">
        <v>965</v>
      </c>
      <c r="B326" s="947"/>
      <c r="C326" s="947" t="s">
        <v>1067</v>
      </c>
      <c r="D326" s="947" t="s">
        <v>591</v>
      </c>
      <c r="E326" s="947"/>
      <c r="F326" s="958">
        <v>1</v>
      </c>
      <c r="G326" s="959">
        <v>1</v>
      </c>
      <c r="H326" s="959">
        <v>1</v>
      </c>
      <c r="I326" s="959">
        <v>1</v>
      </c>
      <c r="J326" s="959">
        <v>1</v>
      </c>
      <c r="K326" s="959">
        <v>1</v>
      </c>
      <c r="L326" s="960">
        <v>1</v>
      </c>
      <c r="M326" s="961">
        <v>1</v>
      </c>
      <c r="N326" s="961">
        <v>1</v>
      </c>
      <c r="O326" s="962">
        <v>1</v>
      </c>
      <c r="P326" s="962">
        <v>1</v>
      </c>
      <c r="Q326" s="962">
        <v>1</v>
      </c>
      <c r="R326" s="962">
        <v>1</v>
      </c>
      <c r="S326" s="962">
        <v>1</v>
      </c>
      <c r="T326" s="962">
        <v>1</v>
      </c>
      <c r="U326" s="962">
        <v>1</v>
      </c>
      <c r="V326" s="962">
        <v>1</v>
      </c>
      <c r="W326" s="962">
        <v>1</v>
      </c>
      <c r="X326" s="962">
        <v>1</v>
      </c>
      <c r="Y326" s="962">
        <v>1</v>
      </c>
      <c r="Z326" s="962">
        <v>1</v>
      </c>
      <c r="AA326" s="962">
        <v>1</v>
      </c>
      <c r="AB326" s="962">
        <v>1</v>
      </c>
      <c r="AC326" s="962">
        <v>1</v>
      </c>
      <c r="AD326" s="961">
        <v>1</v>
      </c>
      <c r="AE326" s="961">
        <v>1</v>
      </c>
      <c r="AF326" s="961">
        <v>1</v>
      </c>
      <c r="AG326" s="961">
        <v>1</v>
      </c>
      <c r="AH326" s="961">
        <v>1</v>
      </c>
      <c r="AI326" s="961">
        <v>1</v>
      </c>
      <c r="AJ326" s="961">
        <v>1</v>
      </c>
      <c r="AK326" s="961">
        <v>1</v>
      </c>
      <c r="AL326" s="961">
        <v>1</v>
      </c>
      <c r="AM326" s="961">
        <v>1</v>
      </c>
      <c r="AN326" s="961">
        <v>1</v>
      </c>
      <c r="AO326" s="961">
        <v>1</v>
      </c>
      <c r="AP326" s="961">
        <v>1</v>
      </c>
      <c r="AQ326" s="961">
        <v>1</v>
      </c>
      <c r="AR326" s="961">
        <v>1</v>
      </c>
      <c r="AS326" s="961">
        <v>1</v>
      </c>
      <c r="AT326" s="961">
        <v>1</v>
      </c>
      <c r="AU326" s="961">
        <v>1</v>
      </c>
      <c r="AV326" s="961">
        <v>1</v>
      </c>
      <c r="AW326" s="961">
        <v>1</v>
      </c>
      <c r="AX326" s="961">
        <v>1</v>
      </c>
      <c r="AY326" s="961">
        <v>1</v>
      </c>
      <c r="AZ326" s="961">
        <v>1</v>
      </c>
      <c r="BA326" s="961">
        <v>1</v>
      </c>
      <c r="BB326" s="961">
        <v>1</v>
      </c>
      <c r="BC326" s="961">
        <v>1</v>
      </c>
      <c r="BD326" s="961">
        <v>1</v>
      </c>
      <c r="BE326" s="961">
        <v>1</v>
      </c>
      <c r="BF326" s="961">
        <v>1</v>
      </c>
      <c r="BG326" s="961">
        <v>1</v>
      </c>
      <c r="BH326" s="961">
        <v>1</v>
      </c>
      <c r="BI326" s="961">
        <v>1</v>
      </c>
      <c r="BJ326" s="961">
        <v>1</v>
      </c>
      <c r="BK326" s="915"/>
      <c r="BL326" s="915"/>
    </row>
    <row r="327" spans="1:64" s="371" customFormat="1" x14ac:dyDescent="0.3">
      <c r="A327" s="947">
        <v>603</v>
      </c>
      <c r="B327" s="947"/>
      <c r="C327" s="947" t="s">
        <v>1068</v>
      </c>
      <c r="D327" s="947" t="s">
        <v>596</v>
      </c>
      <c r="E327" s="947"/>
      <c r="F327" s="958">
        <v>0</v>
      </c>
      <c r="G327" s="959">
        <v>0</v>
      </c>
      <c r="H327" s="959">
        <v>2</v>
      </c>
      <c r="I327" s="959">
        <v>0</v>
      </c>
      <c r="J327" s="959">
        <v>0</v>
      </c>
      <c r="K327" s="959">
        <v>0</v>
      </c>
      <c r="L327" s="960">
        <v>0</v>
      </c>
      <c r="M327" s="961">
        <v>0</v>
      </c>
      <c r="N327" s="961">
        <v>0</v>
      </c>
      <c r="O327" s="962">
        <v>0</v>
      </c>
      <c r="P327" s="962">
        <v>0</v>
      </c>
      <c r="Q327" s="962">
        <v>0</v>
      </c>
      <c r="R327" s="962">
        <v>0</v>
      </c>
      <c r="S327" s="962">
        <v>0</v>
      </c>
      <c r="T327" s="962">
        <v>0</v>
      </c>
      <c r="U327" s="962">
        <v>0</v>
      </c>
      <c r="V327" s="962">
        <v>2</v>
      </c>
      <c r="W327" s="962">
        <v>0</v>
      </c>
      <c r="X327" s="962">
        <v>0</v>
      </c>
      <c r="Y327" s="962">
        <v>0</v>
      </c>
      <c r="Z327" s="962">
        <v>0</v>
      </c>
      <c r="AA327" s="962">
        <v>0</v>
      </c>
      <c r="AB327" s="962">
        <v>0</v>
      </c>
      <c r="AC327" s="962">
        <v>0</v>
      </c>
      <c r="AD327" s="961">
        <v>0</v>
      </c>
      <c r="AE327" s="961">
        <v>0</v>
      </c>
      <c r="AF327" s="961">
        <v>0</v>
      </c>
      <c r="AG327" s="961">
        <v>0</v>
      </c>
      <c r="AH327" s="961">
        <v>0</v>
      </c>
      <c r="AI327" s="961">
        <v>0</v>
      </c>
      <c r="AJ327" s="961">
        <v>1</v>
      </c>
      <c r="AK327" s="961">
        <v>0</v>
      </c>
      <c r="AL327" s="961">
        <v>0</v>
      </c>
      <c r="AM327" s="961">
        <v>0</v>
      </c>
      <c r="AN327" s="961">
        <v>0</v>
      </c>
      <c r="AO327" s="961">
        <v>7</v>
      </c>
      <c r="AP327" s="961">
        <v>0</v>
      </c>
      <c r="AQ327" s="961">
        <v>0</v>
      </c>
      <c r="AR327" s="961">
        <v>0</v>
      </c>
      <c r="AS327" s="961">
        <v>0</v>
      </c>
      <c r="AT327" s="961">
        <v>7</v>
      </c>
      <c r="AU327" s="961">
        <v>0</v>
      </c>
      <c r="AV327" s="961">
        <v>0</v>
      </c>
      <c r="AW327" s="961">
        <v>0</v>
      </c>
      <c r="AX327" s="961">
        <v>7</v>
      </c>
      <c r="AY327" s="961">
        <v>0</v>
      </c>
      <c r="AZ327" s="961">
        <v>4</v>
      </c>
      <c r="BA327" s="961">
        <v>7</v>
      </c>
      <c r="BB327" s="961">
        <v>0</v>
      </c>
      <c r="BC327" s="961">
        <v>7</v>
      </c>
      <c r="BD327" s="961">
        <v>0</v>
      </c>
      <c r="BE327" s="961">
        <v>0</v>
      </c>
      <c r="BF327" s="961">
        <v>0</v>
      </c>
      <c r="BG327" s="961">
        <v>0</v>
      </c>
      <c r="BH327" s="961">
        <v>7</v>
      </c>
      <c r="BI327" s="961">
        <v>0</v>
      </c>
      <c r="BJ327" s="961">
        <v>0</v>
      </c>
      <c r="BK327" s="915"/>
      <c r="BL327" s="915"/>
    </row>
    <row r="328" spans="1:64" s="371" customFormat="1" x14ac:dyDescent="0.3">
      <c r="A328" s="947">
        <v>929</v>
      </c>
      <c r="B328" s="947"/>
      <c r="C328" s="947" t="s">
        <v>1068</v>
      </c>
      <c r="D328" s="947" t="s">
        <v>592</v>
      </c>
      <c r="E328" s="947"/>
      <c r="F328" s="958">
        <v>0</v>
      </c>
      <c r="G328" s="959">
        <v>0</v>
      </c>
      <c r="H328" s="959">
        <v>2</v>
      </c>
      <c r="I328" s="959">
        <v>0</v>
      </c>
      <c r="J328" s="959">
        <v>0</v>
      </c>
      <c r="K328" s="959">
        <v>0</v>
      </c>
      <c r="L328" s="960">
        <v>0</v>
      </c>
      <c r="M328" s="961">
        <v>0</v>
      </c>
      <c r="N328" s="961">
        <v>0</v>
      </c>
      <c r="O328" s="962">
        <v>0</v>
      </c>
      <c r="P328" s="962">
        <v>0</v>
      </c>
      <c r="Q328" s="962">
        <v>0</v>
      </c>
      <c r="R328" s="962">
        <v>0</v>
      </c>
      <c r="S328" s="962">
        <v>0</v>
      </c>
      <c r="T328" s="962">
        <v>0</v>
      </c>
      <c r="U328" s="962">
        <v>0</v>
      </c>
      <c r="V328" s="962">
        <v>2</v>
      </c>
      <c r="W328" s="962">
        <v>0</v>
      </c>
      <c r="X328" s="962">
        <v>2</v>
      </c>
      <c r="Y328" s="962">
        <v>0</v>
      </c>
      <c r="Z328" s="962">
        <v>0</v>
      </c>
      <c r="AA328" s="962">
        <v>0</v>
      </c>
      <c r="AB328" s="962">
        <v>0</v>
      </c>
      <c r="AC328" s="962">
        <v>0</v>
      </c>
      <c r="AD328" s="961">
        <v>0</v>
      </c>
      <c r="AE328" s="961">
        <v>0</v>
      </c>
      <c r="AF328" s="961">
        <v>0</v>
      </c>
      <c r="AG328" s="961">
        <v>0</v>
      </c>
      <c r="AH328" s="961">
        <v>0</v>
      </c>
      <c r="AI328" s="961">
        <v>0</v>
      </c>
      <c r="AJ328" s="961">
        <v>0</v>
      </c>
      <c r="AK328" s="961">
        <v>0</v>
      </c>
      <c r="AL328" s="961">
        <v>0</v>
      </c>
      <c r="AM328" s="961">
        <v>0</v>
      </c>
      <c r="AN328" s="961">
        <v>0</v>
      </c>
      <c r="AO328" s="961">
        <v>2</v>
      </c>
      <c r="AP328" s="961">
        <v>0</v>
      </c>
      <c r="AQ328" s="961">
        <v>0</v>
      </c>
      <c r="AR328" s="961">
        <v>0</v>
      </c>
      <c r="AS328" s="961">
        <v>0</v>
      </c>
      <c r="AT328" s="961">
        <v>2</v>
      </c>
      <c r="AU328" s="961">
        <v>0</v>
      </c>
      <c r="AV328" s="961">
        <v>0</v>
      </c>
      <c r="AW328" s="961">
        <v>0</v>
      </c>
      <c r="AX328" s="961">
        <v>2</v>
      </c>
      <c r="AY328" s="961">
        <v>0</v>
      </c>
      <c r="AZ328" s="961">
        <v>1</v>
      </c>
      <c r="BA328" s="961">
        <v>2</v>
      </c>
      <c r="BB328" s="961">
        <v>0</v>
      </c>
      <c r="BC328" s="961">
        <v>2</v>
      </c>
      <c r="BD328" s="961">
        <v>0</v>
      </c>
      <c r="BE328" s="961">
        <v>0</v>
      </c>
      <c r="BF328" s="961">
        <v>0</v>
      </c>
      <c r="BG328" s="961">
        <v>0</v>
      </c>
      <c r="BH328" s="961">
        <v>2</v>
      </c>
      <c r="BI328" s="961">
        <v>0</v>
      </c>
      <c r="BJ328" s="961">
        <v>0</v>
      </c>
      <c r="BK328" s="915"/>
      <c r="BL328" s="915"/>
    </row>
    <row r="329" spans="1:64" s="371" customFormat="1" x14ac:dyDescent="0.3">
      <c r="A329" s="947">
        <v>930</v>
      </c>
      <c r="B329" s="947"/>
      <c r="C329" s="947" t="s">
        <v>1068</v>
      </c>
      <c r="D329" s="947" t="s">
        <v>593</v>
      </c>
      <c r="E329" s="947"/>
      <c r="F329" s="958">
        <v>0</v>
      </c>
      <c r="G329" s="959">
        <v>0</v>
      </c>
      <c r="H329" s="959">
        <v>2</v>
      </c>
      <c r="I329" s="959">
        <v>0</v>
      </c>
      <c r="J329" s="959">
        <v>0</v>
      </c>
      <c r="K329" s="959">
        <v>0</v>
      </c>
      <c r="L329" s="960">
        <v>0</v>
      </c>
      <c r="M329" s="961">
        <v>0</v>
      </c>
      <c r="N329" s="961">
        <v>0</v>
      </c>
      <c r="O329" s="962">
        <v>0</v>
      </c>
      <c r="P329" s="962">
        <v>0</v>
      </c>
      <c r="Q329" s="962">
        <v>0</v>
      </c>
      <c r="R329" s="962">
        <v>0</v>
      </c>
      <c r="S329" s="962">
        <v>0</v>
      </c>
      <c r="T329" s="962">
        <v>0</v>
      </c>
      <c r="U329" s="962">
        <v>0</v>
      </c>
      <c r="V329" s="962">
        <v>2</v>
      </c>
      <c r="W329" s="962">
        <v>0</v>
      </c>
      <c r="X329" s="962">
        <v>2</v>
      </c>
      <c r="Y329" s="962">
        <v>0</v>
      </c>
      <c r="Z329" s="962">
        <v>0</v>
      </c>
      <c r="AA329" s="962">
        <v>0</v>
      </c>
      <c r="AB329" s="962">
        <v>0</v>
      </c>
      <c r="AC329" s="962">
        <v>0</v>
      </c>
      <c r="AD329" s="961">
        <v>0</v>
      </c>
      <c r="AE329" s="961">
        <v>0</v>
      </c>
      <c r="AF329" s="961">
        <v>0</v>
      </c>
      <c r="AG329" s="961">
        <v>0</v>
      </c>
      <c r="AH329" s="961">
        <v>0</v>
      </c>
      <c r="AI329" s="961">
        <v>0</v>
      </c>
      <c r="AJ329" s="961">
        <v>0</v>
      </c>
      <c r="AK329" s="961">
        <v>0</v>
      </c>
      <c r="AL329" s="961">
        <v>0</v>
      </c>
      <c r="AM329" s="961">
        <v>0</v>
      </c>
      <c r="AN329" s="961">
        <v>0</v>
      </c>
      <c r="AO329" s="961">
        <v>2</v>
      </c>
      <c r="AP329" s="961">
        <v>0</v>
      </c>
      <c r="AQ329" s="961">
        <v>0</v>
      </c>
      <c r="AR329" s="961">
        <v>0</v>
      </c>
      <c r="AS329" s="961">
        <v>0</v>
      </c>
      <c r="AT329" s="961">
        <v>2</v>
      </c>
      <c r="AU329" s="961">
        <v>0</v>
      </c>
      <c r="AV329" s="961">
        <v>0</v>
      </c>
      <c r="AW329" s="961">
        <v>0</v>
      </c>
      <c r="AX329" s="961">
        <v>2</v>
      </c>
      <c r="AY329" s="961">
        <v>0</v>
      </c>
      <c r="AZ329" s="961">
        <v>2</v>
      </c>
      <c r="BA329" s="961">
        <v>2</v>
      </c>
      <c r="BB329" s="961">
        <v>0</v>
      </c>
      <c r="BC329" s="961">
        <v>2</v>
      </c>
      <c r="BD329" s="961">
        <v>0</v>
      </c>
      <c r="BE329" s="961">
        <v>0</v>
      </c>
      <c r="BF329" s="961">
        <v>0</v>
      </c>
      <c r="BG329" s="961">
        <v>0</v>
      </c>
      <c r="BH329" s="961">
        <v>2</v>
      </c>
      <c r="BI329" s="961">
        <v>0</v>
      </c>
      <c r="BJ329" s="961">
        <v>0</v>
      </c>
      <c r="BK329" s="915"/>
      <c r="BL329" s="915"/>
    </row>
    <row r="330" spans="1:64" s="371" customFormat="1" x14ac:dyDescent="0.3">
      <c r="A330" s="947">
        <v>931</v>
      </c>
      <c r="B330" s="947"/>
      <c r="C330" s="947" t="s">
        <v>1068</v>
      </c>
      <c r="D330" s="947" t="s">
        <v>594</v>
      </c>
      <c r="E330" s="947"/>
      <c r="F330" s="958">
        <v>0</v>
      </c>
      <c r="G330" s="959">
        <v>0</v>
      </c>
      <c r="H330" s="959">
        <v>2</v>
      </c>
      <c r="I330" s="959">
        <v>0</v>
      </c>
      <c r="J330" s="959">
        <v>0</v>
      </c>
      <c r="K330" s="959">
        <v>0</v>
      </c>
      <c r="L330" s="960">
        <v>0</v>
      </c>
      <c r="M330" s="961">
        <v>0</v>
      </c>
      <c r="N330" s="961">
        <v>0</v>
      </c>
      <c r="O330" s="962">
        <v>0</v>
      </c>
      <c r="P330" s="962">
        <v>0</v>
      </c>
      <c r="Q330" s="962">
        <v>0</v>
      </c>
      <c r="R330" s="962">
        <v>0</v>
      </c>
      <c r="S330" s="962">
        <v>0</v>
      </c>
      <c r="T330" s="962">
        <v>0</v>
      </c>
      <c r="U330" s="962">
        <v>0</v>
      </c>
      <c r="V330" s="962">
        <v>2</v>
      </c>
      <c r="W330" s="962">
        <v>0</v>
      </c>
      <c r="X330" s="962">
        <v>1</v>
      </c>
      <c r="Y330" s="962">
        <v>0</v>
      </c>
      <c r="Z330" s="962">
        <v>0</v>
      </c>
      <c r="AA330" s="962">
        <v>0</v>
      </c>
      <c r="AB330" s="962">
        <v>0</v>
      </c>
      <c r="AC330" s="962">
        <v>0</v>
      </c>
      <c r="AD330" s="961">
        <v>0</v>
      </c>
      <c r="AE330" s="961">
        <v>0</v>
      </c>
      <c r="AF330" s="961">
        <v>0</v>
      </c>
      <c r="AG330" s="961">
        <v>0</v>
      </c>
      <c r="AH330" s="961">
        <v>0</v>
      </c>
      <c r="AI330" s="961">
        <v>0</v>
      </c>
      <c r="AJ330" s="961">
        <v>1</v>
      </c>
      <c r="AK330" s="961">
        <v>0</v>
      </c>
      <c r="AL330" s="961">
        <v>0</v>
      </c>
      <c r="AM330" s="961">
        <v>0</v>
      </c>
      <c r="AN330" s="961">
        <v>0</v>
      </c>
      <c r="AO330" s="961">
        <v>1</v>
      </c>
      <c r="AP330" s="961">
        <v>0</v>
      </c>
      <c r="AQ330" s="961">
        <v>0</v>
      </c>
      <c r="AR330" s="961">
        <v>0</v>
      </c>
      <c r="AS330" s="961">
        <v>0</v>
      </c>
      <c r="AT330" s="961">
        <v>1</v>
      </c>
      <c r="AU330" s="961">
        <v>0</v>
      </c>
      <c r="AV330" s="961">
        <v>0</v>
      </c>
      <c r="AW330" s="961">
        <v>0</v>
      </c>
      <c r="AX330" s="961">
        <v>1</v>
      </c>
      <c r="AY330" s="961">
        <v>0</v>
      </c>
      <c r="AZ330" s="961">
        <v>1</v>
      </c>
      <c r="BA330" s="961">
        <v>1</v>
      </c>
      <c r="BB330" s="961">
        <v>0</v>
      </c>
      <c r="BC330" s="961">
        <v>1</v>
      </c>
      <c r="BD330" s="961">
        <v>0</v>
      </c>
      <c r="BE330" s="961">
        <v>0</v>
      </c>
      <c r="BF330" s="961">
        <v>0</v>
      </c>
      <c r="BG330" s="961">
        <v>0</v>
      </c>
      <c r="BH330" s="961">
        <v>1</v>
      </c>
      <c r="BI330" s="961">
        <v>0</v>
      </c>
      <c r="BJ330" s="961">
        <v>0</v>
      </c>
      <c r="BK330" s="915"/>
      <c r="BL330" s="915"/>
    </row>
    <row r="331" spans="1:64" s="371" customFormat="1" x14ac:dyDescent="0.3">
      <c r="A331" s="947">
        <v>932</v>
      </c>
      <c r="B331" s="947"/>
      <c r="C331" s="947" t="s">
        <v>1068</v>
      </c>
      <c r="D331" s="947" t="s">
        <v>595</v>
      </c>
      <c r="E331" s="947"/>
      <c r="F331" s="958">
        <v>0</v>
      </c>
      <c r="G331" s="959">
        <v>0</v>
      </c>
      <c r="H331" s="959">
        <v>2</v>
      </c>
      <c r="I331" s="959">
        <v>0</v>
      </c>
      <c r="J331" s="959">
        <v>0</v>
      </c>
      <c r="K331" s="959">
        <v>0</v>
      </c>
      <c r="L331" s="960">
        <v>0</v>
      </c>
      <c r="M331" s="961">
        <v>0</v>
      </c>
      <c r="N331" s="961">
        <v>0</v>
      </c>
      <c r="O331" s="962">
        <v>0</v>
      </c>
      <c r="P331" s="962">
        <v>0</v>
      </c>
      <c r="Q331" s="962">
        <v>0</v>
      </c>
      <c r="R331" s="962">
        <v>0</v>
      </c>
      <c r="S331" s="962">
        <v>0</v>
      </c>
      <c r="T331" s="962">
        <v>0</v>
      </c>
      <c r="U331" s="962">
        <v>0</v>
      </c>
      <c r="V331" s="962">
        <v>2</v>
      </c>
      <c r="W331" s="962">
        <v>0</v>
      </c>
      <c r="X331" s="962">
        <v>2</v>
      </c>
      <c r="Y331" s="962">
        <v>0</v>
      </c>
      <c r="Z331" s="962">
        <v>0</v>
      </c>
      <c r="AA331" s="962">
        <v>0</v>
      </c>
      <c r="AB331" s="962">
        <v>0</v>
      </c>
      <c r="AC331" s="962">
        <v>0</v>
      </c>
      <c r="AD331" s="961">
        <v>0</v>
      </c>
      <c r="AE331" s="961">
        <v>0</v>
      </c>
      <c r="AF331" s="961">
        <v>0</v>
      </c>
      <c r="AG331" s="961">
        <v>0</v>
      </c>
      <c r="AH331" s="961">
        <v>0</v>
      </c>
      <c r="AI331" s="961">
        <v>0</v>
      </c>
      <c r="AJ331" s="961">
        <v>0</v>
      </c>
      <c r="AK331" s="961">
        <v>0</v>
      </c>
      <c r="AL331" s="961">
        <v>0</v>
      </c>
      <c r="AM331" s="961">
        <v>0</v>
      </c>
      <c r="AN331" s="961">
        <v>0</v>
      </c>
      <c r="AO331" s="961">
        <v>2</v>
      </c>
      <c r="AP331" s="961">
        <v>0</v>
      </c>
      <c r="AQ331" s="961">
        <v>0</v>
      </c>
      <c r="AR331" s="961">
        <v>0</v>
      </c>
      <c r="AS331" s="961">
        <v>0</v>
      </c>
      <c r="AT331" s="961">
        <v>2</v>
      </c>
      <c r="AU331" s="961">
        <v>0</v>
      </c>
      <c r="AV331" s="961">
        <v>0</v>
      </c>
      <c r="AW331" s="961">
        <v>0</v>
      </c>
      <c r="AX331" s="961">
        <v>2</v>
      </c>
      <c r="AY331" s="961">
        <v>0</v>
      </c>
      <c r="AZ331" s="961">
        <v>2</v>
      </c>
      <c r="BA331" s="961">
        <v>2</v>
      </c>
      <c r="BB331" s="961">
        <v>0</v>
      </c>
      <c r="BC331" s="961">
        <v>2</v>
      </c>
      <c r="BD331" s="961">
        <v>0</v>
      </c>
      <c r="BE331" s="961">
        <v>0</v>
      </c>
      <c r="BF331" s="961">
        <v>0</v>
      </c>
      <c r="BG331" s="961">
        <v>0</v>
      </c>
      <c r="BH331" s="961">
        <v>2</v>
      </c>
      <c r="BI331" s="961">
        <v>0</v>
      </c>
      <c r="BJ331" s="961">
        <v>0</v>
      </c>
      <c r="BK331" s="915"/>
      <c r="BL331" s="915"/>
    </row>
    <row r="332" spans="1:64" s="371" customFormat="1" x14ac:dyDescent="0.3">
      <c r="A332" s="947" t="s">
        <v>1161</v>
      </c>
      <c r="B332" s="1017"/>
      <c r="C332" s="947"/>
      <c r="D332" s="947"/>
      <c r="E332" s="947"/>
      <c r="F332" s="958"/>
      <c r="G332" s="959"/>
      <c r="H332" s="959"/>
      <c r="I332" s="959"/>
      <c r="J332" s="959"/>
      <c r="K332" s="959"/>
      <c r="L332" s="960"/>
      <c r="M332" s="961"/>
      <c r="N332" s="961"/>
      <c r="O332" s="962"/>
      <c r="P332" s="962"/>
      <c r="Q332" s="962"/>
      <c r="R332" s="962"/>
      <c r="S332" s="962"/>
      <c r="T332" s="962"/>
      <c r="U332" s="962"/>
      <c r="V332" s="962"/>
      <c r="W332" s="962"/>
      <c r="X332" s="962"/>
      <c r="Y332" s="962"/>
      <c r="Z332" s="962"/>
      <c r="AA332" s="962"/>
      <c r="AB332" s="962"/>
      <c r="AC332" s="962"/>
      <c r="AD332" s="961"/>
      <c r="AE332" s="961"/>
      <c r="AF332" s="961"/>
      <c r="AG332" s="961"/>
      <c r="AH332" s="961"/>
      <c r="AI332" s="961"/>
      <c r="AJ332" s="961"/>
      <c r="AK332" s="961"/>
      <c r="AL332" s="961"/>
      <c r="AM332" s="961"/>
      <c r="AN332" s="961"/>
      <c r="AO332" s="961"/>
      <c r="AP332" s="961"/>
      <c r="AQ332" s="961"/>
      <c r="AR332" s="961"/>
      <c r="AS332" s="961"/>
      <c r="AT332" s="961"/>
      <c r="AU332" s="961"/>
      <c r="AV332" s="961"/>
      <c r="AW332" s="961"/>
      <c r="AX332" s="961"/>
      <c r="AY332" s="961"/>
      <c r="AZ332" s="961"/>
      <c r="BA332" s="961"/>
      <c r="BB332" s="961"/>
      <c r="BC332" s="961"/>
      <c r="BD332" s="961"/>
      <c r="BE332" s="961"/>
      <c r="BF332" s="961"/>
      <c r="BG332" s="961"/>
      <c r="BH332" s="961"/>
      <c r="BI332" s="961"/>
      <c r="BJ332" s="961"/>
      <c r="BK332" s="903"/>
      <c r="BL332" s="903"/>
    </row>
    <row r="333" spans="1:64" s="371" customFormat="1" x14ac:dyDescent="0.3">
      <c r="A333" s="947" t="s">
        <v>1161</v>
      </c>
      <c r="B333" s="1017"/>
      <c r="C333" s="947"/>
      <c r="D333" s="947"/>
      <c r="E333" s="947"/>
      <c r="F333" s="958"/>
      <c r="G333" s="959"/>
      <c r="H333" s="959"/>
      <c r="I333" s="959"/>
      <c r="J333" s="959"/>
      <c r="K333" s="959"/>
      <c r="L333" s="960"/>
      <c r="M333" s="961"/>
      <c r="N333" s="961"/>
      <c r="O333" s="962"/>
      <c r="P333" s="962"/>
      <c r="Q333" s="962"/>
      <c r="R333" s="962"/>
      <c r="S333" s="962"/>
      <c r="T333" s="962"/>
      <c r="U333" s="962"/>
      <c r="V333" s="962"/>
      <c r="W333" s="962"/>
      <c r="X333" s="962"/>
      <c r="Y333" s="962"/>
      <c r="Z333" s="962"/>
      <c r="AA333" s="962"/>
      <c r="AB333" s="962"/>
      <c r="AC333" s="962"/>
      <c r="AD333" s="961"/>
      <c r="AE333" s="961"/>
      <c r="AF333" s="961"/>
      <c r="AG333" s="961"/>
      <c r="AH333" s="961"/>
      <c r="AI333" s="961"/>
      <c r="AJ333" s="961"/>
      <c r="AK333" s="961"/>
      <c r="AL333" s="961"/>
      <c r="AM333" s="961"/>
      <c r="AN333" s="961"/>
      <c r="AO333" s="961"/>
      <c r="AP333" s="961"/>
      <c r="AQ333" s="961"/>
      <c r="AR333" s="961"/>
      <c r="AS333" s="961"/>
      <c r="AT333" s="961"/>
      <c r="AU333" s="961"/>
      <c r="AV333" s="961"/>
      <c r="AW333" s="961"/>
      <c r="AX333" s="961"/>
      <c r="AY333" s="961"/>
      <c r="AZ333" s="961"/>
      <c r="BA333" s="961"/>
      <c r="BB333" s="961"/>
      <c r="BC333" s="961"/>
      <c r="BD333" s="961"/>
      <c r="BE333" s="961"/>
      <c r="BF333" s="961"/>
      <c r="BG333" s="961"/>
      <c r="BH333" s="961"/>
      <c r="BI333" s="961"/>
      <c r="BJ333" s="961"/>
      <c r="BK333" s="903"/>
      <c r="BL333" s="903"/>
    </row>
    <row r="334" spans="1:64" s="371" customFormat="1" x14ac:dyDescent="0.3">
      <c r="A334" s="1017"/>
      <c r="B334" s="947" t="s">
        <v>1069</v>
      </c>
      <c r="C334" s="947"/>
      <c r="D334" s="947" t="s">
        <v>646</v>
      </c>
      <c r="E334" s="947"/>
      <c r="F334" s="1023">
        <v>11555047</v>
      </c>
      <c r="G334" s="1023">
        <v>17217181</v>
      </c>
      <c r="H334" s="1023">
        <v>10058639</v>
      </c>
      <c r="I334" s="1023">
        <v>5128938</v>
      </c>
      <c r="J334" s="1023">
        <v>19631410</v>
      </c>
      <c r="K334" s="1023">
        <v>9740393</v>
      </c>
      <c r="L334" s="1023">
        <v>3004493</v>
      </c>
      <c r="M334" s="1023">
        <v>6607374</v>
      </c>
      <c r="N334" s="1023">
        <v>12579730</v>
      </c>
      <c r="O334" s="1023">
        <v>2386349</v>
      </c>
      <c r="P334" s="1023">
        <v>5448273</v>
      </c>
      <c r="Q334" s="1023">
        <v>30482557</v>
      </c>
      <c r="R334" s="1023">
        <v>18389896</v>
      </c>
      <c r="S334" s="1023">
        <v>2859422</v>
      </c>
      <c r="T334" s="1023">
        <v>181643</v>
      </c>
      <c r="U334" s="1023">
        <v>22758966</v>
      </c>
      <c r="V334" s="1023">
        <v>80039440</v>
      </c>
      <c r="W334" s="1023">
        <v>6461524</v>
      </c>
      <c r="X334" s="1023">
        <v>3723613</v>
      </c>
      <c r="Y334" s="1023">
        <v>52424089</v>
      </c>
      <c r="Z334" s="1023">
        <v>34205848</v>
      </c>
      <c r="AA334" s="1023">
        <v>3800257</v>
      </c>
      <c r="AB334" s="1023">
        <v>18174889</v>
      </c>
      <c r="AC334" s="1023">
        <v>2785354</v>
      </c>
      <c r="AD334" s="1023">
        <v>9876199</v>
      </c>
      <c r="AE334" s="1023">
        <v>40800776</v>
      </c>
      <c r="AF334" s="1023">
        <v>5191796</v>
      </c>
      <c r="AG334" s="1023">
        <v>25295496</v>
      </c>
      <c r="AH334" s="1023">
        <v>8586227</v>
      </c>
      <c r="AI334" s="1023">
        <v>4042867</v>
      </c>
      <c r="AJ334" s="1023">
        <v>17622099</v>
      </c>
      <c r="AK334" s="1023">
        <v>15888404</v>
      </c>
      <c r="AL334" s="1023">
        <v>38608688</v>
      </c>
      <c r="AM334" s="1023">
        <v>14308390</v>
      </c>
      <c r="AN334" s="1023">
        <v>10421769</v>
      </c>
      <c r="AO334" s="1023">
        <v>14442238</v>
      </c>
      <c r="AP334" s="1023">
        <v>12746052</v>
      </c>
      <c r="AQ334" s="1023">
        <v>12747273</v>
      </c>
      <c r="AR334" s="1023">
        <v>10329642</v>
      </c>
      <c r="AS334" s="1023">
        <v>995816</v>
      </c>
      <c r="AT334" s="1023">
        <v>5586384</v>
      </c>
      <c r="AU334" s="1023">
        <v>12643943</v>
      </c>
      <c r="AV334" s="1023">
        <v>690179</v>
      </c>
      <c r="AW334" s="1023">
        <v>103123063</v>
      </c>
      <c r="AX334" s="1023">
        <v>7315892</v>
      </c>
      <c r="AY334" s="1023">
        <v>491292159</v>
      </c>
      <c r="AZ334" s="1023">
        <v>4420854</v>
      </c>
      <c r="BA334" s="1023">
        <v>1566673</v>
      </c>
      <c r="BB334" s="1023">
        <v>15132718</v>
      </c>
      <c r="BC334" s="1023">
        <v>21670213</v>
      </c>
      <c r="BD334" s="1023">
        <v>1611237</v>
      </c>
      <c r="BE334" s="1023">
        <v>1886330</v>
      </c>
      <c r="BF334" s="1023">
        <v>17709894</v>
      </c>
      <c r="BG334" s="1023">
        <v>19497788</v>
      </c>
      <c r="BH334" s="1023">
        <v>124977535</v>
      </c>
      <c r="BI334" s="1023">
        <v>6347288</v>
      </c>
      <c r="BJ334" s="1023">
        <v>3036130</v>
      </c>
      <c r="BK334" s="919"/>
      <c r="BL334" s="919"/>
    </row>
    <row r="335" spans="1:64" s="371" customFormat="1" ht="28.8" x14ac:dyDescent="0.3">
      <c r="A335" s="1017"/>
      <c r="B335" s="947"/>
      <c r="C335" s="947"/>
      <c r="D335" s="947"/>
      <c r="E335" s="947"/>
      <c r="F335" s="1024" t="s">
        <v>693</v>
      </c>
      <c r="G335" s="1024" t="s">
        <v>693</v>
      </c>
      <c r="H335" s="1024" t="s">
        <v>693</v>
      </c>
      <c r="I335" s="1024" t="s">
        <v>692</v>
      </c>
      <c r="J335" s="1024" t="s">
        <v>693</v>
      </c>
      <c r="K335" s="1024" t="s">
        <v>692</v>
      </c>
      <c r="L335" s="1024" t="s">
        <v>692</v>
      </c>
      <c r="M335" s="1024" t="s">
        <v>692</v>
      </c>
      <c r="N335" s="1024" t="s">
        <v>693</v>
      </c>
      <c r="O335" s="1024" t="s">
        <v>692</v>
      </c>
      <c r="P335" s="1024" t="s">
        <v>692</v>
      </c>
      <c r="Q335" s="1024" t="s">
        <v>693</v>
      </c>
      <c r="R335" s="1024" t="s">
        <v>693</v>
      </c>
      <c r="S335" s="1024" t="s">
        <v>692</v>
      </c>
      <c r="T335" s="1024" t="s">
        <v>1162</v>
      </c>
      <c r="U335" s="1024" t="s">
        <v>693</v>
      </c>
      <c r="V335" s="1024" t="s">
        <v>693</v>
      </c>
      <c r="W335" s="1024" t="s">
        <v>692</v>
      </c>
      <c r="X335" s="1024" t="s">
        <v>692</v>
      </c>
      <c r="Y335" s="1024" t="s">
        <v>693</v>
      </c>
      <c r="Z335" s="1024" t="s">
        <v>693</v>
      </c>
      <c r="AA335" s="1024" t="s">
        <v>692</v>
      </c>
      <c r="AB335" s="1024" t="s">
        <v>693</v>
      </c>
      <c r="AC335" s="1024" t="s">
        <v>692</v>
      </c>
      <c r="AD335" s="1024" t="s">
        <v>692</v>
      </c>
      <c r="AE335" s="1024" t="s">
        <v>693</v>
      </c>
      <c r="AF335" s="1024" t="s">
        <v>692</v>
      </c>
      <c r="AG335" s="1024" t="s">
        <v>693</v>
      </c>
      <c r="AH335" s="1024" t="s">
        <v>692</v>
      </c>
      <c r="AI335" s="1024" t="s">
        <v>692</v>
      </c>
      <c r="AJ335" s="1024" t="s">
        <v>693</v>
      </c>
      <c r="AK335" s="1024" t="s">
        <v>693</v>
      </c>
      <c r="AL335" s="1024" t="s">
        <v>693</v>
      </c>
      <c r="AM335" s="1024" t="s">
        <v>693</v>
      </c>
      <c r="AN335" s="1024" t="s">
        <v>693</v>
      </c>
      <c r="AO335" s="1024" t="s">
        <v>693</v>
      </c>
      <c r="AP335" s="1024" t="s">
        <v>693</v>
      </c>
      <c r="AQ335" s="1024" t="s">
        <v>693</v>
      </c>
      <c r="AR335" s="1024" t="s">
        <v>693</v>
      </c>
      <c r="AS335" s="1024" t="s">
        <v>1162</v>
      </c>
      <c r="AT335" s="1024" t="s">
        <v>692</v>
      </c>
      <c r="AU335" s="1024" t="s">
        <v>693</v>
      </c>
      <c r="AV335" s="1024" t="s">
        <v>1162</v>
      </c>
      <c r="AW335" s="1024" t="s">
        <v>693</v>
      </c>
      <c r="AX335" s="1024" t="s">
        <v>692</v>
      </c>
      <c r="AY335" s="1024" t="s">
        <v>693</v>
      </c>
      <c r="AZ335" s="1024" t="s">
        <v>692</v>
      </c>
      <c r="BA335" s="1024" t="s">
        <v>692</v>
      </c>
      <c r="BB335" s="1024" t="s">
        <v>693</v>
      </c>
      <c r="BC335" s="1024" t="s">
        <v>693</v>
      </c>
      <c r="BD335" s="1024" t="s">
        <v>692</v>
      </c>
      <c r="BE335" s="1024" t="s">
        <v>692</v>
      </c>
      <c r="BF335" s="1024" t="s">
        <v>693</v>
      </c>
      <c r="BG335" s="1024" t="s">
        <v>693</v>
      </c>
      <c r="BH335" s="1024" t="s">
        <v>693</v>
      </c>
      <c r="BI335" s="1024" t="s">
        <v>692</v>
      </c>
      <c r="BJ335" s="1024" t="s">
        <v>692</v>
      </c>
      <c r="BK335" s="920"/>
      <c r="BL335" s="920"/>
    </row>
    <row r="336" spans="1:64" s="374" customFormat="1" x14ac:dyDescent="0.3">
      <c r="A336" s="1017"/>
      <c r="B336" s="947"/>
      <c r="C336" s="947"/>
      <c r="D336" s="947"/>
      <c r="E336" s="947"/>
      <c r="F336" s="1024">
        <v>0.25</v>
      </c>
      <c r="G336" s="1024">
        <v>0.25</v>
      </c>
      <c r="H336" s="1024">
        <v>0.25</v>
      </c>
      <c r="I336" s="1024">
        <v>0.34</v>
      </c>
      <c r="J336" s="1024">
        <v>0.25</v>
      </c>
      <c r="K336" s="1024">
        <v>0.34</v>
      </c>
      <c r="L336" s="1024">
        <v>0.34</v>
      </c>
      <c r="M336" s="1024">
        <v>0.34</v>
      </c>
      <c r="N336" s="1024">
        <v>0.25</v>
      </c>
      <c r="O336" s="1024">
        <v>0.34</v>
      </c>
      <c r="P336" s="1024">
        <v>0.34</v>
      </c>
      <c r="Q336" s="1024">
        <v>0.25</v>
      </c>
      <c r="R336" s="1024">
        <v>0.25</v>
      </c>
      <c r="S336" s="1024">
        <v>0.34</v>
      </c>
      <c r="T336" s="1024">
        <v>0.71</v>
      </c>
      <c r="U336" s="1024">
        <v>0.25</v>
      </c>
      <c r="V336" s="1024">
        <v>0.25</v>
      </c>
      <c r="W336" s="1024">
        <v>0.34</v>
      </c>
      <c r="X336" s="1024">
        <v>0.34</v>
      </c>
      <c r="Y336" s="1024">
        <v>0.25</v>
      </c>
      <c r="Z336" s="1024">
        <v>0.25</v>
      </c>
      <c r="AA336" s="1024">
        <v>0.34</v>
      </c>
      <c r="AB336" s="1024">
        <v>0.25</v>
      </c>
      <c r="AC336" s="1024">
        <v>0.34</v>
      </c>
      <c r="AD336" s="1024">
        <v>0.34</v>
      </c>
      <c r="AE336" s="1024">
        <v>0.25</v>
      </c>
      <c r="AF336" s="1024">
        <v>0.34</v>
      </c>
      <c r="AG336" s="1024">
        <v>0.25</v>
      </c>
      <c r="AH336" s="1024">
        <v>0.34</v>
      </c>
      <c r="AI336" s="1024">
        <v>0.34</v>
      </c>
      <c r="AJ336" s="1024">
        <v>0.25</v>
      </c>
      <c r="AK336" s="1024">
        <v>0.25</v>
      </c>
      <c r="AL336" s="1024">
        <v>0.25</v>
      </c>
      <c r="AM336" s="1024">
        <v>0.25</v>
      </c>
      <c r="AN336" s="1024">
        <v>0.25</v>
      </c>
      <c r="AO336" s="1024">
        <v>0.25</v>
      </c>
      <c r="AP336" s="1024">
        <v>0.25</v>
      </c>
      <c r="AQ336" s="1024">
        <v>0.25</v>
      </c>
      <c r="AR336" s="1024">
        <v>0.25</v>
      </c>
      <c r="AS336" s="1024">
        <v>0.71</v>
      </c>
      <c r="AT336" s="1024">
        <v>0.34</v>
      </c>
      <c r="AU336" s="1024">
        <v>0.25</v>
      </c>
      <c r="AV336" s="1024">
        <v>0.71</v>
      </c>
      <c r="AW336" s="1024">
        <v>0.25</v>
      </c>
      <c r="AX336" s="1024">
        <v>0.34</v>
      </c>
      <c r="AY336" s="1024">
        <v>0.25</v>
      </c>
      <c r="AZ336" s="1024">
        <v>0.34</v>
      </c>
      <c r="BA336" s="1024">
        <v>0.34</v>
      </c>
      <c r="BB336" s="1024">
        <v>0.25</v>
      </c>
      <c r="BC336" s="1024">
        <v>0.25</v>
      </c>
      <c r="BD336" s="1024">
        <v>0.34</v>
      </c>
      <c r="BE336" s="1024">
        <v>0.34</v>
      </c>
      <c r="BF336" s="1024">
        <v>0.25</v>
      </c>
      <c r="BG336" s="1024">
        <v>0.25</v>
      </c>
      <c r="BH336" s="1024">
        <v>0.25</v>
      </c>
      <c r="BI336" s="1024">
        <v>0.34</v>
      </c>
      <c r="BJ336" s="1024">
        <v>0.34</v>
      </c>
      <c r="BK336" s="920"/>
      <c r="BL336" s="920"/>
    </row>
    <row r="337" spans="1:64" s="371" customFormat="1" x14ac:dyDescent="0.3">
      <c r="A337" s="1017"/>
      <c r="B337" s="947" t="s">
        <v>647</v>
      </c>
      <c r="C337" s="947"/>
      <c r="D337" s="947" t="s">
        <v>552</v>
      </c>
      <c r="E337" s="947"/>
      <c r="F337" s="1023">
        <v>343862</v>
      </c>
      <c r="G337" s="1023">
        <v>1859271</v>
      </c>
      <c r="H337" s="1023">
        <v>2438722</v>
      </c>
      <c r="I337" s="1023">
        <v>1446027</v>
      </c>
      <c r="J337" s="1023">
        <v>1107517</v>
      </c>
      <c r="K337" s="1023">
        <v>1411450</v>
      </c>
      <c r="L337" s="1023">
        <v>268100</v>
      </c>
      <c r="M337" s="1023">
        <v>2394219</v>
      </c>
      <c r="N337" s="1023">
        <v>5275501</v>
      </c>
      <c r="O337" s="1023">
        <v>927410</v>
      </c>
      <c r="P337" s="1023">
        <v>2935571</v>
      </c>
      <c r="Q337" s="1023">
        <v>2808080</v>
      </c>
      <c r="R337" s="1023">
        <v>2350787</v>
      </c>
      <c r="S337" s="1023">
        <v>1376196</v>
      </c>
      <c r="T337" s="1023">
        <v>657504</v>
      </c>
      <c r="U337" s="1023">
        <v>3807868</v>
      </c>
      <c r="V337" s="1023">
        <v>10718999</v>
      </c>
      <c r="W337" s="1023">
        <v>2313570</v>
      </c>
      <c r="X337" s="1023">
        <v>42859</v>
      </c>
      <c r="Y337" s="1023">
        <v>10641516</v>
      </c>
      <c r="Z337" s="1023">
        <v>5972896</v>
      </c>
      <c r="AA337" s="1023">
        <v>466550</v>
      </c>
      <c r="AB337" s="1023">
        <v>4144550</v>
      </c>
      <c r="AC337" s="1023">
        <v>323074</v>
      </c>
      <c r="AD337" s="1023">
        <v>1629737</v>
      </c>
      <c r="AE337" s="1023">
        <v>8921220</v>
      </c>
      <c r="AF337" s="1023">
        <v>619616</v>
      </c>
      <c r="AG337" s="1023">
        <v>5215292</v>
      </c>
      <c r="AH337" s="1023">
        <v>3123448</v>
      </c>
      <c r="AI337" s="1023">
        <v>1496757</v>
      </c>
      <c r="AJ337" s="1023">
        <v>3355835</v>
      </c>
      <c r="AK337" s="1023">
        <v>15083551</v>
      </c>
      <c r="AL337" s="1023">
        <v>6313479</v>
      </c>
      <c r="AM337" s="1023">
        <v>3706327</v>
      </c>
      <c r="AN337" s="1023">
        <v>3955301</v>
      </c>
      <c r="AO337" s="1023">
        <v>1710884</v>
      </c>
      <c r="AP337" s="1023">
        <v>682771</v>
      </c>
      <c r="AQ337" s="1023">
        <v>829898</v>
      </c>
      <c r="AR337" s="1023">
        <v>2460924</v>
      </c>
      <c r="AS337" s="1023">
        <v>56500</v>
      </c>
      <c r="AT337" s="1023">
        <v>-660840</v>
      </c>
      <c r="AU337" s="1023">
        <v>1048095</v>
      </c>
      <c r="AV337" s="1023">
        <v>331877</v>
      </c>
      <c r="AW337" s="1023">
        <v>1602910</v>
      </c>
      <c r="AX337" s="1023">
        <v>552886</v>
      </c>
      <c r="AY337" s="1023">
        <v>79978434</v>
      </c>
      <c r="AZ337" s="1023">
        <v>832712</v>
      </c>
      <c r="BA337" s="1023">
        <v>337234</v>
      </c>
      <c r="BB337" s="1023">
        <v>3775921</v>
      </c>
      <c r="BC337" s="1023">
        <v>-5725383</v>
      </c>
      <c r="BD337" s="1023">
        <v>797147</v>
      </c>
      <c r="BE337" s="1023">
        <v>1489677</v>
      </c>
      <c r="BF337" s="1023">
        <v>5212534</v>
      </c>
      <c r="BG337" s="1023">
        <v>7034409</v>
      </c>
      <c r="BH337" s="1023">
        <v>7756984</v>
      </c>
      <c r="BI337" s="1023">
        <v>1607326</v>
      </c>
      <c r="BJ337" s="1023">
        <v>936233</v>
      </c>
      <c r="BK337" s="919"/>
      <c r="BL337" s="919"/>
    </row>
    <row r="338" spans="1:64" s="371" customFormat="1" x14ac:dyDescent="0.3">
      <c r="A338" s="1017"/>
      <c r="B338" s="947" t="s">
        <v>477</v>
      </c>
      <c r="C338" s="947"/>
      <c r="D338" s="947" t="s">
        <v>482</v>
      </c>
      <c r="E338" s="947"/>
      <c r="F338" s="1023">
        <v>11555047</v>
      </c>
      <c r="G338" s="1023">
        <v>17217181</v>
      </c>
      <c r="H338" s="1023">
        <v>10058639</v>
      </c>
      <c r="I338" s="1023">
        <v>5128938</v>
      </c>
      <c r="J338" s="1023">
        <v>19631410</v>
      </c>
      <c r="K338" s="1023">
        <v>9740393</v>
      </c>
      <c r="L338" s="1023">
        <v>3004493</v>
      </c>
      <c r="M338" s="1023">
        <v>6607374</v>
      </c>
      <c r="N338" s="1023">
        <v>12579730</v>
      </c>
      <c r="O338" s="1023">
        <v>2386349</v>
      </c>
      <c r="P338" s="1023">
        <v>5448273</v>
      </c>
      <c r="Q338" s="1023">
        <v>30482557</v>
      </c>
      <c r="R338" s="1023">
        <v>18389896</v>
      </c>
      <c r="S338" s="1023">
        <v>2859422</v>
      </c>
      <c r="T338" s="1023">
        <v>181643</v>
      </c>
      <c r="U338" s="1023">
        <v>22758966</v>
      </c>
      <c r="V338" s="1023">
        <v>80039440</v>
      </c>
      <c r="W338" s="1023">
        <v>6461524</v>
      </c>
      <c r="X338" s="1023">
        <v>3723613</v>
      </c>
      <c r="Y338" s="1023">
        <v>52424089</v>
      </c>
      <c r="Z338" s="1023">
        <v>34205848</v>
      </c>
      <c r="AA338" s="1023">
        <v>3800257</v>
      </c>
      <c r="AB338" s="1023">
        <v>18174889</v>
      </c>
      <c r="AC338" s="1023">
        <v>2785354</v>
      </c>
      <c r="AD338" s="1023">
        <v>9876199</v>
      </c>
      <c r="AE338" s="1023">
        <v>40800776</v>
      </c>
      <c r="AF338" s="1023">
        <v>5191796</v>
      </c>
      <c r="AG338" s="1023">
        <v>25295496</v>
      </c>
      <c r="AH338" s="1023">
        <v>8586227</v>
      </c>
      <c r="AI338" s="1023">
        <v>4042867</v>
      </c>
      <c r="AJ338" s="1023">
        <v>17622099</v>
      </c>
      <c r="AK338" s="1023">
        <v>15888404</v>
      </c>
      <c r="AL338" s="1023">
        <v>38608688</v>
      </c>
      <c r="AM338" s="1023">
        <v>14308390</v>
      </c>
      <c r="AN338" s="1023">
        <v>10421769</v>
      </c>
      <c r="AO338" s="1023">
        <v>14442238</v>
      </c>
      <c r="AP338" s="1023">
        <v>12746052</v>
      </c>
      <c r="AQ338" s="1023">
        <v>12747273</v>
      </c>
      <c r="AR338" s="1023">
        <v>10329642</v>
      </c>
      <c r="AS338" s="1023">
        <v>995816</v>
      </c>
      <c r="AT338" s="1023">
        <v>5586384</v>
      </c>
      <c r="AU338" s="1023">
        <v>12643943</v>
      </c>
      <c r="AV338" s="1023">
        <v>690179</v>
      </c>
      <c r="AW338" s="1023">
        <v>103123063</v>
      </c>
      <c r="AX338" s="1023">
        <v>7315892</v>
      </c>
      <c r="AY338" s="1023">
        <v>491292159</v>
      </c>
      <c r="AZ338" s="1023">
        <v>4420854</v>
      </c>
      <c r="BA338" s="1023">
        <v>1566673</v>
      </c>
      <c r="BB338" s="1023">
        <v>15132718</v>
      </c>
      <c r="BC338" s="1023">
        <v>21670213</v>
      </c>
      <c r="BD338" s="1023">
        <v>1611237</v>
      </c>
      <c r="BE338" s="1023">
        <v>1886330</v>
      </c>
      <c r="BF338" s="1023">
        <v>17709894</v>
      </c>
      <c r="BG338" s="1023">
        <v>19497788</v>
      </c>
      <c r="BH338" s="1023">
        <v>124977535</v>
      </c>
      <c r="BI338" s="1023">
        <v>6347288</v>
      </c>
      <c r="BJ338" s="1023">
        <v>3036130</v>
      </c>
      <c r="BK338" s="919"/>
      <c r="BL338" s="919"/>
    </row>
    <row r="339" spans="1:64" s="374" customFormat="1" x14ac:dyDescent="0.3">
      <c r="A339" s="1017"/>
      <c r="B339" s="947" t="s">
        <v>648</v>
      </c>
      <c r="C339" s="947"/>
      <c r="D339" s="947" t="s">
        <v>551</v>
      </c>
      <c r="E339" s="947"/>
      <c r="F339" s="1025">
        <v>2.98E-2</v>
      </c>
      <c r="G339" s="1025">
        <v>0.108</v>
      </c>
      <c r="H339" s="1025">
        <v>0.24249999999999999</v>
      </c>
      <c r="I339" s="1025">
        <v>0.28189999999999998</v>
      </c>
      <c r="J339" s="1025">
        <v>5.6399999999999999E-2</v>
      </c>
      <c r="K339" s="1025">
        <v>0.1449</v>
      </c>
      <c r="L339" s="1025">
        <v>8.9200000000000002E-2</v>
      </c>
      <c r="M339" s="1025">
        <v>0.3624</v>
      </c>
      <c r="N339" s="1025">
        <v>0.4194</v>
      </c>
      <c r="O339" s="1025">
        <v>0.3886</v>
      </c>
      <c r="P339" s="1025">
        <v>0.53879999999999995</v>
      </c>
      <c r="Q339" s="1025">
        <v>9.2100000000000001E-2</v>
      </c>
      <c r="R339" s="1025">
        <v>0.1278</v>
      </c>
      <c r="S339" s="1025">
        <v>0.48130000000000001</v>
      </c>
      <c r="T339" s="1025">
        <v>3.6198000000000001</v>
      </c>
      <c r="U339" s="1025">
        <v>0.1673</v>
      </c>
      <c r="V339" s="1025">
        <v>0.13389999999999999</v>
      </c>
      <c r="W339" s="1025">
        <v>0.35809999999999997</v>
      </c>
      <c r="X339" s="1025">
        <v>1.15E-2</v>
      </c>
      <c r="Y339" s="1025">
        <v>0.20300000000000001</v>
      </c>
      <c r="Z339" s="1025">
        <v>0.17460000000000001</v>
      </c>
      <c r="AA339" s="1025">
        <v>0.12280000000000001</v>
      </c>
      <c r="AB339" s="1025">
        <v>0.22800000000000001</v>
      </c>
      <c r="AC339" s="1025">
        <v>0.11600000000000001</v>
      </c>
      <c r="AD339" s="1025">
        <v>0.16500000000000001</v>
      </c>
      <c r="AE339" s="1025">
        <v>0.21870000000000001</v>
      </c>
      <c r="AF339" s="1025">
        <v>0.1193</v>
      </c>
      <c r="AG339" s="1025">
        <v>0.20619999999999999</v>
      </c>
      <c r="AH339" s="1025">
        <v>0.36380000000000001</v>
      </c>
      <c r="AI339" s="1025">
        <v>0.37019999999999997</v>
      </c>
      <c r="AJ339" s="1025">
        <v>0.19040000000000001</v>
      </c>
      <c r="AK339" s="1025">
        <v>0.94930000000000003</v>
      </c>
      <c r="AL339" s="1025">
        <v>0.16350000000000001</v>
      </c>
      <c r="AM339" s="1025">
        <v>0.25900000000000001</v>
      </c>
      <c r="AN339" s="1025">
        <v>0.3795</v>
      </c>
      <c r="AO339" s="1025">
        <v>0.11849999999999999</v>
      </c>
      <c r="AP339" s="1025">
        <v>5.3600000000000002E-2</v>
      </c>
      <c r="AQ339" s="1025">
        <v>6.5100000000000005E-2</v>
      </c>
      <c r="AR339" s="1025">
        <v>0.2382</v>
      </c>
      <c r="AS339" s="1025">
        <v>5.67E-2</v>
      </c>
      <c r="AT339" s="1025">
        <v>-0.1183</v>
      </c>
      <c r="AU339" s="1025">
        <v>8.2900000000000001E-2</v>
      </c>
      <c r="AV339" s="1025">
        <v>0.48089999999999999</v>
      </c>
      <c r="AW339" s="1025">
        <v>1.55E-2</v>
      </c>
      <c r="AX339" s="1025">
        <v>7.5600000000000001E-2</v>
      </c>
      <c r="AY339" s="1025">
        <v>0.1628</v>
      </c>
      <c r="AZ339" s="1025">
        <v>0.18840000000000001</v>
      </c>
      <c r="BA339" s="1025">
        <v>0.21529999999999999</v>
      </c>
      <c r="BB339" s="1025">
        <v>0.2495</v>
      </c>
      <c r="BC339" s="1025">
        <v>-0.26419999999999999</v>
      </c>
      <c r="BD339" s="1025">
        <v>0.49469999999999997</v>
      </c>
      <c r="BE339" s="1025">
        <v>0.78969999999999996</v>
      </c>
      <c r="BF339" s="1025">
        <v>0.29430000000000001</v>
      </c>
      <c r="BG339" s="1025">
        <v>0.36080000000000001</v>
      </c>
      <c r="BH339" s="1025">
        <v>6.2100000000000002E-2</v>
      </c>
      <c r="BI339" s="1025">
        <v>0.25319999999999998</v>
      </c>
      <c r="BJ339" s="1025">
        <v>0.30840000000000001</v>
      </c>
      <c r="BK339" s="921"/>
      <c r="BL339" s="921"/>
    </row>
    <row r="340" spans="1:64" s="371" customFormat="1" x14ac:dyDescent="0.3">
      <c r="A340" s="1017"/>
      <c r="B340" s="947" t="s">
        <v>478</v>
      </c>
      <c r="C340" s="947"/>
      <c r="D340" s="947" t="s">
        <v>483</v>
      </c>
      <c r="E340" s="947"/>
      <c r="F340" s="1026">
        <v>0</v>
      </c>
      <c r="G340" s="1026">
        <v>0</v>
      </c>
      <c r="H340" s="1026">
        <v>0</v>
      </c>
      <c r="I340" s="1026">
        <v>0</v>
      </c>
      <c r="J340" s="1026">
        <v>0</v>
      </c>
      <c r="K340" s="1026">
        <v>0</v>
      </c>
      <c r="L340" s="1026">
        <v>0</v>
      </c>
      <c r="M340" s="1026">
        <v>0</v>
      </c>
      <c r="N340" s="1026">
        <v>0</v>
      </c>
      <c r="O340" s="1026">
        <v>0</v>
      </c>
      <c r="P340" s="1026">
        <v>0</v>
      </c>
      <c r="Q340" s="1026">
        <v>0</v>
      </c>
      <c r="R340" s="1026">
        <v>0</v>
      </c>
      <c r="S340" s="1026">
        <v>0</v>
      </c>
      <c r="T340" s="1026">
        <v>0</v>
      </c>
      <c r="U340" s="1026">
        <v>0</v>
      </c>
      <c r="V340" s="1026">
        <v>0</v>
      </c>
      <c r="W340" s="1026">
        <v>0</v>
      </c>
      <c r="X340" s="1026">
        <v>0</v>
      </c>
      <c r="Y340" s="1026">
        <v>0</v>
      </c>
      <c r="Z340" s="1026">
        <v>0</v>
      </c>
      <c r="AA340" s="1026">
        <v>0</v>
      </c>
      <c r="AB340" s="1026">
        <v>0</v>
      </c>
      <c r="AC340" s="1026">
        <v>0</v>
      </c>
      <c r="AD340" s="1026">
        <v>0</v>
      </c>
      <c r="AE340" s="1026">
        <v>0</v>
      </c>
      <c r="AF340" s="1026">
        <v>0</v>
      </c>
      <c r="AG340" s="1026">
        <v>0</v>
      </c>
      <c r="AH340" s="1026">
        <v>0</v>
      </c>
      <c r="AI340" s="1026">
        <v>0</v>
      </c>
      <c r="AJ340" s="1026">
        <v>0</v>
      </c>
      <c r="AK340" s="1026">
        <v>0</v>
      </c>
      <c r="AL340" s="1026">
        <v>0</v>
      </c>
      <c r="AM340" s="1026">
        <v>0</v>
      </c>
      <c r="AN340" s="1026">
        <v>0</v>
      </c>
      <c r="AO340" s="1026">
        <v>0</v>
      </c>
      <c r="AP340" s="1026">
        <v>0</v>
      </c>
      <c r="AQ340" s="1026">
        <v>0</v>
      </c>
      <c r="AR340" s="1026">
        <v>0</v>
      </c>
      <c r="AS340" s="1026">
        <v>0</v>
      </c>
      <c r="AT340" s="1026">
        <v>0</v>
      </c>
      <c r="AU340" s="1026">
        <v>0</v>
      </c>
      <c r="AV340" s="1026">
        <v>0</v>
      </c>
      <c r="AW340" s="1026">
        <v>0</v>
      </c>
      <c r="AX340" s="1026">
        <v>0</v>
      </c>
      <c r="AY340" s="1026">
        <v>0</v>
      </c>
      <c r="AZ340" s="1026">
        <v>0</v>
      </c>
      <c r="BA340" s="1026">
        <v>0</v>
      </c>
      <c r="BB340" s="1026">
        <v>0</v>
      </c>
      <c r="BC340" s="1026">
        <v>0</v>
      </c>
      <c r="BD340" s="1026">
        <v>0</v>
      </c>
      <c r="BE340" s="1026">
        <v>0</v>
      </c>
      <c r="BF340" s="1026">
        <v>0</v>
      </c>
      <c r="BG340" s="1026">
        <v>0</v>
      </c>
      <c r="BH340" s="1026">
        <v>0</v>
      </c>
      <c r="BI340" s="1026">
        <v>0</v>
      </c>
      <c r="BJ340" s="1026">
        <v>0</v>
      </c>
      <c r="BK340" s="922"/>
      <c r="BL340" s="922"/>
    </row>
    <row r="341" spans="1:64" s="371" customFormat="1" x14ac:dyDescent="0.3">
      <c r="A341" s="1017"/>
      <c r="B341" s="947" t="s">
        <v>527</v>
      </c>
      <c r="C341" s="947"/>
      <c r="D341" s="947" t="s">
        <v>479</v>
      </c>
      <c r="E341" s="947"/>
      <c r="F341" s="1026"/>
      <c r="G341" s="1026"/>
      <c r="H341" s="1026"/>
      <c r="I341" s="1026"/>
      <c r="J341" s="1026"/>
      <c r="K341" s="1026"/>
      <c r="L341" s="1026"/>
      <c r="M341" s="1026"/>
      <c r="N341" s="1026"/>
      <c r="O341" s="1026"/>
      <c r="P341" s="1026"/>
      <c r="Q341" s="1026"/>
      <c r="R341" s="1026"/>
      <c r="S341" s="1026"/>
      <c r="T341" s="1026"/>
      <c r="U341" s="1026"/>
      <c r="V341" s="1026"/>
      <c r="W341" s="1026"/>
      <c r="X341" s="1026"/>
      <c r="Y341" s="1026"/>
      <c r="Z341" s="1026"/>
      <c r="AA341" s="1026"/>
      <c r="AB341" s="1026"/>
      <c r="AC341" s="1026"/>
      <c r="AD341" s="1026"/>
      <c r="AE341" s="1026"/>
      <c r="AF341" s="1026"/>
      <c r="AG341" s="1026"/>
      <c r="AH341" s="1026"/>
      <c r="AI341" s="1026"/>
      <c r="AJ341" s="1026"/>
      <c r="AK341" s="1026"/>
      <c r="AL341" s="1026"/>
      <c r="AM341" s="1026"/>
      <c r="AN341" s="1026"/>
      <c r="AO341" s="1026"/>
      <c r="AP341" s="1026"/>
      <c r="AQ341" s="1026"/>
      <c r="AR341" s="1026"/>
      <c r="AS341" s="1026"/>
      <c r="AT341" s="1026"/>
      <c r="AU341" s="1026"/>
      <c r="AV341" s="1026"/>
      <c r="AW341" s="1026"/>
      <c r="AX341" s="1026"/>
      <c r="AY341" s="1026"/>
      <c r="AZ341" s="1026"/>
      <c r="BA341" s="1026"/>
      <c r="BB341" s="1026"/>
      <c r="BC341" s="1026"/>
      <c r="BD341" s="1026"/>
      <c r="BE341" s="1026"/>
      <c r="BF341" s="1026"/>
      <c r="BG341" s="1026"/>
      <c r="BH341" s="1026"/>
      <c r="BI341" s="1026"/>
      <c r="BJ341" s="1026"/>
      <c r="BK341" s="922"/>
      <c r="BL341" s="922"/>
    </row>
    <row r="342" spans="1:64" s="371" customFormat="1" x14ac:dyDescent="0.3">
      <c r="A342" s="1017"/>
      <c r="B342" s="947" t="s">
        <v>481</v>
      </c>
      <c r="C342" s="947"/>
      <c r="D342" s="947" t="s">
        <v>480</v>
      </c>
      <c r="E342" s="947"/>
      <c r="F342" s="1026"/>
      <c r="G342" s="1026"/>
      <c r="H342" s="1026"/>
      <c r="I342" s="1026"/>
      <c r="J342" s="1026"/>
      <c r="K342" s="1026"/>
      <c r="L342" s="1026"/>
      <c r="M342" s="1026"/>
      <c r="N342" s="1026"/>
      <c r="O342" s="1026"/>
      <c r="P342" s="1026"/>
      <c r="Q342" s="1026"/>
      <c r="R342" s="1026"/>
      <c r="S342" s="1026"/>
      <c r="T342" s="1026"/>
      <c r="U342" s="1026"/>
      <c r="V342" s="1026"/>
      <c r="W342" s="1026"/>
      <c r="X342" s="1026"/>
      <c r="Y342" s="1026"/>
      <c r="Z342" s="1026"/>
      <c r="AA342" s="1026"/>
      <c r="AB342" s="1026"/>
      <c r="AC342" s="1026"/>
      <c r="AD342" s="1026"/>
      <c r="AE342" s="1026"/>
      <c r="AF342" s="1026"/>
      <c r="AG342" s="1026"/>
      <c r="AH342" s="1026"/>
      <c r="AI342" s="1026"/>
      <c r="AJ342" s="1026"/>
      <c r="AK342" s="1026"/>
      <c r="AL342" s="1026"/>
      <c r="AM342" s="1026"/>
      <c r="AN342" s="1026"/>
      <c r="AO342" s="1026"/>
      <c r="AP342" s="1026"/>
      <c r="AQ342" s="1026"/>
      <c r="AR342" s="1026"/>
      <c r="AS342" s="1026"/>
      <c r="AT342" s="1026"/>
      <c r="AU342" s="1026"/>
      <c r="AV342" s="1026"/>
      <c r="AW342" s="1026"/>
      <c r="AX342" s="1026"/>
      <c r="AY342" s="1026"/>
      <c r="AZ342" s="1026"/>
      <c r="BA342" s="1026"/>
      <c r="BB342" s="1026"/>
      <c r="BC342" s="1026"/>
      <c r="BD342" s="1026"/>
      <c r="BE342" s="1026"/>
      <c r="BF342" s="1026"/>
      <c r="BG342" s="1026"/>
      <c r="BH342" s="1026"/>
      <c r="BI342" s="1026"/>
      <c r="BJ342" s="1026"/>
      <c r="BK342" s="922"/>
      <c r="BL342" s="922"/>
    </row>
    <row r="343" spans="1:64" s="371" customFormat="1" x14ac:dyDescent="0.3">
      <c r="A343" s="1017"/>
      <c r="B343" s="947" t="s">
        <v>484</v>
      </c>
      <c r="C343" s="947"/>
      <c r="D343" s="947" t="s">
        <v>486</v>
      </c>
      <c r="E343" s="947"/>
      <c r="F343" s="1026"/>
      <c r="G343" s="1026"/>
      <c r="H343" s="1026"/>
      <c r="I343" s="1026"/>
      <c r="J343" s="1026"/>
      <c r="K343" s="1026"/>
      <c r="L343" s="1026"/>
      <c r="M343" s="1026"/>
      <c r="N343" s="1026"/>
      <c r="O343" s="1026"/>
      <c r="P343" s="1026"/>
      <c r="Q343" s="1026"/>
      <c r="R343" s="1026"/>
      <c r="S343" s="1026"/>
      <c r="T343" s="1026"/>
      <c r="U343" s="1026"/>
      <c r="V343" s="1026"/>
      <c r="W343" s="1026"/>
      <c r="X343" s="1026"/>
      <c r="Y343" s="1026"/>
      <c r="Z343" s="1026"/>
      <c r="AA343" s="1026"/>
      <c r="AB343" s="1026"/>
      <c r="AC343" s="1026"/>
      <c r="AD343" s="1026"/>
      <c r="AE343" s="1026"/>
      <c r="AF343" s="1026"/>
      <c r="AG343" s="1026"/>
      <c r="AH343" s="1026"/>
      <c r="AI343" s="1026"/>
      <c r="AJ343" s="1026"/>
      <c r="AK343" s="1026"/>
      <c r="AL343" s="1026"/>
      <c r="AM343" s="1026"/>
      <c r="AN343" s="1026"/>
      <c r="AO343" s="1026"/>
      <c r="AP343" s="1026"/>
      <c r="AQ343" s="1026"/>
      <c r="AR343" s="1026"/>
      <c r="AS343" s="1026"/>
      <c r="AT343" s="1026"/>
      <c r="AU343" s="1026"/>
      <c r="AV343" s="1026"/>
      <c r="AW343" s="1026"/>
      <c r="AX343" s="1026"/>
      <c r="AY343" s="1026"/>
      <c r="AZ343" s="1026"/>
      <c r="BA343" s="1026"/>
      <c r="BB343" s="1026"/>
      <c r="BC343" s="1026"/>
      <c r="BD343" s="1026"/>
      <c r="BE343" s="1026"/>
      <c r="BF343" s="1026"/>
      <c r="BG343" s="1026"/>
      <c r="BH343" s="1026"/>
      <c r="BI343" s="1026"/>
      <c r="BJ343" s="1026"/>
      <c r="BK343" s="922"/>
      <c r="BL343" s="922"/>
    </row>
    <row r="344" spans="1:64" s="371" customFormat="1" x14ac:dyDescent="0.3">
      <c r="A344" s="1017"/>
      <c r="B344" s="947" t="s">
        <v>485</v>
      </c>
      <c r="C344" s="947"/>
      <c r="D344" s="947" t="s">
        <v>487</v>
      </c>
      <c r="E344" s="947"/>
      <c r="F344" s="1026"/>
      <c r="G344" s="1026"/>
      <c r="H344" s="1026"/>
      <c r="I344" s="1026"/>
      <c r="J344" s="1026"/>
      <c r="K344" s="1026"/>
      <c r="L344" s="1026"/>
      <c r="M344" s="1026"/>
      <c r="N344" s="1026"/>
      <c r="O344" s="1026"/>
      <c r="P344" s="1026"/>
      <c r="Q344" s="1026"/>
      <c r="R344" s="1026"/>
      <c r="S344" s="1026"/>
      <c r="T344" s="1026"/>
      <c r="U344" s="1026"/>
      <c r="V344" s="1026"/>
      <c r="W344" s="1026"/>
      <c r="X344" s="1026"/>
      <c r="Y344" s="1026"/>
      <c r="Z344" s="1026"/>
      <c r="AA344" s="1026"/>
      <c r="AB344" s="1026"/>
      <c r="AC344" s="1026"/>
      <c r="AD344" s="1026"/>
      <c r="AE344" s="1026"/>
      <c r="AF344" s="1026"/>
      <c r="AG344" s="1026"/>
      <c r="AH344" s="1026"/>
      <c r="AI344" s="1026"/>
      <c r="AJ344" s="1026"/>
      <c r="AK344" s="1026"/>
      <c r="AL344" s="1026"/>
      <c r="AM344" s="1026"/>
      <c r="AN344" s="1026"/>
      <c r="AO344" s="1026"/>
      <c r="AP344" s="1026"/>
      <c r="AQ344" s="1026"/>
      <c r="AR344" s="1026"/>
      <c r="AS344" s="1026"/>
      <c r="AT344" s="1026"/>
      <c r="AU344" s="1026"/>
      <c r="AV344" s="1026"/>
      <c r="AW344" s="1026"/>
      <c r="AX344" s="1026"/>
      <c r="AY344" s="1026"/>
      <c r="AZ344" s="1026"/>
      <c r="BA344" s="1026"/>
      <c r="BB344" s="1026"/>
      <c r="BC344" s="1026"/>
      <c r="BD344" s="1026"/>
      <c r="BE344" s="1026"/>
      <c r="BF344" s="1026"/>
      <c r="BG344" s="1026"/>
      <c r="BH344" s="1026"/>
      <c r="BI344" s="1026"/>
      <c r="BJ344" s="1026"/>
      <c r="BK344" s="922"/>
      <c r="BL344" s="922"/>
    </row>
    <row r="345" spans="1:64" s="371" customFormat="1" x14ac:dyDescent="0.3">
      <c r="A345" s="1017"/>
      <c r="B345" s="947" t="s">
        <v>549</v>
      </c>
      <c r="C345" s="947"/>
      <c r="D345" s="947" t="s">
        <v>552</v>
      </c>
      <c r="E345" s="947"/>
      <c r="F345" s="1026"/>
      <c r="G345" s="1026"/>
      <c r="H345" s="1026"/>
      <c r="I345" s="1026"/>
      <c r="J345" s="1026"/>
      <c r="K345" s="1026"/>
      <c r="L345" s="1026"/>
      <c r="M345" s="1026"/>
      <c r="N345" s="1026"/>
      <c r="O345" s="1026"/>
      <c r="P345" s="1026"/>
      <c r="Q345" s="1026"/>
      <c r="R345" s="1026"/>
      <c r="S345" s="1026"/>
      <c r="T345" s="1026"/>
      <c r="U345" s="1026"/>
      <c r="V345" s="1026"/>
      <c r="W345" s="1026"/>
      <c r="X345" s="1026"/>
      <c r="Y345" s="1026"/>
      <c r="Z345" s="1026"/>
      <c r="AA345" s="1026"/>
      <c r="AB345" s="1026"/>
      <c r="AC345" s="1026"/>
      <c r="AD345" s="1026"/>
      <c r="AE345" s="1026"/>
      <c r="AF345" s="1026"/>
      <c r="AG345" s="1026"/>
      <c r="AH345" s="1026"/>
      <c r="AI345" s="1026"/>
      <c r="AJ345" s="1026"/>
      <c r="AK345" s="1026"/>
      <c r="AL345" s="1026"/>
      <c r="AM345" s="1026"/>
      <c r="AN345" s="1026"/>
      <c r="AO345" s="1026"/>
      <c r="AP345" s="1026"/>
      <c r="AQ345" s="1026"/>
      <c r="AR345" s="1026"/>
      <c r="AS345" s="1026"/>
      <c r="AT345" s="1026"/>
      <c r="AU345" s="1026"/>
      <c r="AV345" s="1026"/>
      <c r="AW345" s="1026"/>
      <c r="AX345" s="1026"/>
      <c r="AY345" s="1026"/>
      <c r="AZ345" s="1026"/>
      <c r="BA345" s="1026"/>
      <c r="BB345" s="1026"/>
      <c r="BC345" s="1026"/>
      <c r="BD345" s="1026"/>
      <c r="BE345" s="1026"/>
      <c r="BF345" s="1026"/>
      <c r="BG345" s="1026"/>
      <c r="BH345" s="1026"/>
      <c r="BI345" s="1026"/>
      <c r="BJ345" s="1026"/>
      <c r="BK345" s="922"/>
      <c r="BL345" s="922"/>
    </row>
    <row r="346" spans="1:64" s="371" customFormat="1" x14ac:dyDescent="0.3">
      <c r="A346" s="1017"/>
      <c r="B346" s="947" t="s">
        <v>550</v>
      </c>
      <c r="C346" s="947"/>
      <c r="D346" s="947" t="s">
        <v>551</v>
      </c>
      <c r="E346" s="947"/>
      <c r="F346" s="1026"/>
      <c r="G346" s="1026"/>
      <c r="H346" s="1026"/>
      <c r="I346" s="1026"/>
      <c r="J346" s="1026"/>
      <c r="K346" s="1026"/>
      <c r="L346" s="1026"/>
      <c r="M346" s="1026"/>
      <c r="N346" s="1026"/>
      <c r="O346" s="1026"/>
      <c r="P346" s="1026"/>
      <c r="Q346" s="1026"/>
      <c r="R346" s="1026"/>
      <c r="S346" s="1026"/>
      <c r="T346" s="1026"/>
      <c r="U346" s="1026"/>
      <c r="V346" s="1026"/>
      <c r="W346" s="1026"/>
      <c r="X346" s="1026"/>
      <c r="Y346" s="1026"/>
      <c r="Z346" s="1026"/>
      <c r="AA346" s="1026"/>
      <c r="AB346" s="1026"/>
      <c r="AC346" s="1026"/>
      <c r="AD346" s="1026"/>
      <c r="AE346" s="1026"/>
      <c r="AF346" s="1026"/>
      <c r="AG346" s="1026"/>
      <c r="AH346" s="1026"/>
      <c r="AI346" s="1026"/>
      <c r="AJ346" s="1026"/>
      <c r="AK346" s="1026"/>
      <c r="AL346" s="1026"/>
      <c r="AM346" s="1026"/>
      <c r="AN346" s="1026"/>
      <c r="AO346" s="1026"/>
      <c r="AP346" s="1026"/>
      <c r="AQ346" s="1026"/>
      <c r="AR346" s="1026"/>
      <c r="AS346" s="1026"/>
      <c r="AT346" s="1026"/>
      <c r="AU346" s="1026"/>
      <c r="AV346" s="1026"/>
      <c r="AW346" s="1026"/>
      <c r="AX346" s="1026"/>
      <c r="AY346" s="1026"/>
      <c r="AZ346" s="1026"/>
      <c r="BA346" s="1026"/>
      <c r="BB346" s="1026"/>
      <c r="BC346" s="1026"/>
      <c r="BD346" s="1026"/>
      <c r="BE346" s="1026"/>
      <c r="BF346" s="1026"/>
      <c r="BG346" s="1026"/>
      <c r="BH346" s="1026"/>
      <c r="BI346" s="1026"/>
      <c r="BJ346" s="1026"/>
      <c r="BK346" s="922"/>
      <c r="BL346" s="922"/>
    </row>
    <row r="347" spans="1:64" s="371" customFormat="1" x14ac:dyDescent="0.3">
      <c r="A347" s="1017"/>
      <c r="B347" s="947" t="s">
        <v>649</v>
      </c>
      <c r="C347" s="947"/>
      <c r="D347" s="947" t="s">
        <v>505</v>
      </c>
      <c r="E347" s="947"/>
      <c r="F347" s="1026" t="e">
        <v>#DIV/0!</v>
      </c>
      <c r="G347" s="1026" t="e">
        <v>#DIV/0!</v>
      </c>
      <c r="H347" s="1026" t="e">
        <v>#DIV/0!</v>
      </c>
      <c r="I347" s="1026" t="e">
        <v>#DIV/0!</v>
      </c>
      <c r="J347" s="1026" t="e">
        <v>#DIV/0!</v>
      </c>
      <c r="K347" s="1026" t="e">
        <v>#DIV/0!</v>
      </c>
      <c r="L347" s="1026" t="e">
        <v>#DIV/0!</v>
      </c>
      <c r="M347" s="1026" t="e">
        <v>#DIV/0!</v>
      </c>
      <c r="N347" s="1026" t="e">
        <v>#DIV/0!</v>
      </c>
      <c r="O347" s="1026" t="e">
        <v>#DIV/0!</v>
      </c>
      <c r="P347" s="1026" t="e">
        <v>#DIV/0!</v>
      </c>
      <c r="Q347" s="1026" t="e">
        <v>#DIV/0!</v>
      </c>
      <c r="R347" s="1026" t="e">
        <v>#DIV/0!</v>
      </c>
      <c r="S347" s="1026" t="e">
        <v>#DIV/0!</v>
      </c>
      <c r="T347" s="1026" t="e">
        <v>#DIV/0!</v>
      </c>
      <c r="U347" s="1026" t="e">
        <v>#DIV/0!</v>
      </c>
      <c r="V347" s="1026" t="e">
        <v>#DIV/0!</v>
      </c>
      <c r="W347" s="1026" t="e">
        <v>#DIV/0!</v>
      </c>
      <c r="X347" s="1026" t="e">
        <v>#DIV/0!</v>
      </c>
      <c r="Y347" s="1026" t="e">
        <v>#DIV/0!</v>
      </c>
      <c r="Z347" s="1026" t="e">
        <v>#DIV/0!</v>
      </c>
      <c r="AA347" s="1026" t="e">
        <v>#DIV/0!</v>
      </c>
      <c r="AB347" s="1026" t="e">
        <v>#DIV/0!</v>
      </c>
      <c r="AC347" s="1026" t="e">
        <v>#DIV/0!</v>
      </c>
      <c r="AD347" s="1026" t="e">
        <v>#DIV/0!</v>
      </c>
      <c r="AE347" s="1026" t="e">
        <v>#DIV/0!</v>
      </c>
      <c r="AF347" s="1026" t="e">
        <v>#DIV/0!</v>
      </c>
      <c r="AG347" s="1026" t="e">
        <v>#DIV/0!</v>
      </c>
      <c r="AH347" s="1026" t="e">
        <v>#DIV/0!</v>
      </c>
      <c r="AI347" s="1026" t="e">
        <v>#DIV/0!</v>
      </c>
      <c r="AJ347" s="1026" t="e">
        <v>#DIV/0!</v>
      </c>
      <c r="AK347" s="1026" t="e">
        <v>#DIV/0!</v>
      </c>
      <c r="AL347" s="1026" t="e">
        <v>#DIV/0!</v>
      </c>
      <c r="AM347" s="1026" t="e">
        <v>#DIV/0!</v>
      </c>
      <c r="AN347" s="1026" t="e">
        <v>#DIV/0!</v>
      </c>
      <c r="AO347" s="1026" t="e">
        <v>#DIV/0!</v>
      </c>
      <c r="AP347" s="1026" t="e">
        <v>#DIV/0!</v>
      </c>
      <c r="AQ347" s="1026" t="e">
        <v>#DIV/0!</v>
      </c>
      <c r="AR347" s="1026" t="e">
        <v>#DIV/0!</v>
      </c>
      <c r="AS347" s="1026" t="e">
        <v>#DIV/0!</v>
      </c>
      <c r="AT347" s="1026" t="e">
        <v>#DIV/0!</v>
      </c>
      <c r="AU347" s="1026" t="e">
        <v>#DIV/0!</v>
      </c>
      <c r="AV347" s="1026" t="e">
        <v>#DIV/0!</v>
      </c>
      <c r="AW347" s="1026" t="e">
        <v>#DIV/0!</v>
      </c>
      <c r="AX347" s="1026" t="e">
        <v>#DIV/0!</v>
      </c>
      <c r="AY347" s="1026" t="e">
        <v>#DIV/0!</v>
      </c>
      <c r="AZ347" s="1026" t="e">
        <v>#DIV/0!</v>
      </c>
      <c r="BA347" s="1026" t="e">
        <v>#DIV/0!</v>
      </c>
      <c r="BB347" s="1026" t="e">
        <v>#DIV/0!</v>
      </c>
      <c r="BC347" s="1026" t="e">
        <v>#DIV/0!</v>
      </c>
      <c r="BD347" s="1026" t="e">
        <v>#DIV/0!</v>
      </c>
      <c r="BE347" s="1026" t="e">
        <v>#DIV/0!</v>
      </c>
      <c r="BF347" s="1026" t="e">
        <v>#DIV/0!</v>
      </c>
      <c r="BG347" s="1026" t="e">
        <v>#DIV/0!</v>
      </c>
      <c r="BH347" s="1026" t="e">
        <v>#DIV/0!</v>
      </c>
      <c r="BI347" s="1026" t="e">
        <v>#DIV/0!</v>
      </c>
      <c r="BJ347" s="1026" t="e">
        <v>#DIV/0!</v>
      </c>
      <c r="BK347" s="922"/>
      <c r="BL347" s="922"/>
    </row>
    <row r="348" spans="1:64" s="371" customFormat="1" x14ac:dyDescent="0.3">
      <c r="A348" s="1015"/>
      <c r="B348" s="947" t="s">
        <v>655</v>
      </c>
      <c r="C348" s="947"/>
      <c r="D348" s="947" t="s">
        <v>697</v>
      </c>
      <c r="E348" s="947"/>
      <c r="F348" s="1027" t="s">
        <v>1163</v>
      </c>
      <c r="G348" s="1027" t="s">
        <v>1163</v>
      </c>
      <c r="H348" s="1027" t="s">
        <v>1163</v>
      </c>
      <c r="I348" s="1027" t="s">
        <v>1163</v>
      </c>
      <c r="J348" s="1027" t="s">
        <v>1163</v>
      </c>
      <c r="K348" s="1027" t="s">
        <v>1163</v>
      </c>
      <c r="L348" s="1027" t="s">
        <v>1163</v>
      </c>
      <c r="M348" s="1027" t="s">
        <v>1163</v>
      </c>
      <c r="N348" s="1027" t="s">
        <v>1164</v>
      </c>
      <c r="O348" s="1027" t="s">
        <v>1163</v>
      </c>
      <c r="P348" s="1027" t="s">
        <v>1163</v>
      </c>
      <c r="Q348" s="1027" t="s">
        <v>1163</v>
      </c>
      <c r="R348" s="1027" t="s">
        <v>1163</v>
      </c>
      <c r="S348" s="1027" t="s">
        <v>1163</v>
      </c>
      <c r="T348" s="1027" t="s">
        <v>1163</v>
      </c>
      <c r="U348" s="1027" t="s">
        <v>1163</v>
      </c>
      <c r="V348" s="1027" t="s">
        <v>1163</v>
      </c>
      <c r="W348" s="1027" t="s">
        <v>1163</v>
      </c>
      <c r="X348" s="1027" t="s">
        <v>1163</v>
      </c>
      <c r="Y348" s="1027" t="s">
        <v>1163</v>
      </c>
      <c r="Z348" s="1027" t="s">
        <v>1163</v>
      </c>
      <c r="AA348" s="1027" t="s">
        <v>1163</v>
      </c>
      <c r="AB348" s="1027" t="s">
        <v>1163</v>
      </c>
      <c r="AC348" s="1027" t="s">
        <v>1163</v>
      </c>
      <c r="AD348" s="1027" t="s">
        <v>1163</v>
      </c>
      <c r="AE348" s="1027" t="s">
        <v>1163</v>
      </c>
      <c r="AF348" s="1027" t="s">
        <v>1163</v>
      </c>
      <c r="AG348" s="1027" t="s">
        <v>1163</v>
      </c>
      <c r="AH348" s="1027" t="s">
        <v>1163</v>
      </c>
      <c r="AI348" s="1027" t="s">
        <v>1163</v>
      </c>
      <c r="AJ348" s="1027" t="s">
        <v>1163</v>
      </c>
      <c r="AK348" s="1027" t="s">
        <v>1163</v>
      </c>
      <c r="AL348" s="1027" t="s">
        <v>1163</v>
      </c>
      <c r="AM348" s="1027" t="s">
        <v>1163</v>
      </c>
      <c r="AN348" s="1027" t="s">
        <v>1163</v>
      </c>
      <c r="AO348" s="1027" t="s">
        <v>1163</v>
      </c>
      <c r="AP348" s="1027" t="s">
        <v>1163</v>
      </c>
      <c r="AQ348" s="1027" t="s">
        <v>1163</v>
      </c>
      <c r="AR348" s="1027" t="s">
        <v>1163</v>
      </c>
      <c r="AS348" s="1027" t="s">
        <v>1164</v>
      </c>
      <c r="AT348" s="1027" t="s">
        <v>1163</v>
      </c>
      <c r="AU348" s="1027" t="s">
        <v>1163</v>
      </c>
      <c r="AV348" s="1027" t="s">
        <v>1163</v>
      </c>
      <c r="AW348" s="1027" t="s">
        <v>1163</v>
      </c>
      <c r="AX348" s="1027" t="s">
        <v>1163</v>
      </c>
      <c r="AY348" s="1027" t="s">
        <v>1165</v>
      </c>
      <c r="AZ348" s="1027" t="s">
        <v>1163</v>
      </c>
      <c r="BA348" s="1027" t="s">
        <v>1163</v>
      </c>
      <c r="BB348" s="1027" t="s">
        <v>1163</v>
      </c>
      <c r="BC348" s="1027" t="s">
        <v>1163</v>
      </c>
      <c r="BD348" s="1027" t="s">
        <v>1163</v>
      </c>
      <c r="BE348" s="1027" t="s">
        <v>1163</v>
      </c>
      <c r="BF348" s="1027" t="s">
        <v>1166</v>
      </c>
      <c r="BG348" s="1027" t="s">
        <v>1163</v>
      </c>
      <c r="BH348" s="1027" t="s">
        <v>1163</v>
      </c>
      <c r="BI348" s="1027" t="s">
        <v>1163</v>
      </c>
      <c r="BJ348" s="1027" t="s">
        <v>1163</v>
      </c>
      <c r="BK348" s="923"/>
      <c r="BL348" s="923"/>
    </row>
    <row r="349" spans="1:64" s="371" customFormat="1" x14ac:dyDescent="0.3">
      <c r="A349" s="1015"/>
      <c r="B349" s="947" t="s">
        <v>654</v>
      </c>
      <c r="C349" s="947"/>
      <c r="D349" s="947" t="s">
        <v>656</v>
      </c>
      <c r="E349" s="947"/>
      <c r="F349" s="1026" t="e">
        <v>#DIV/0!</v>
      </c>
      <c r="G349" s="1026" t="e">
        <v>#DIV/0!</v>
      </c>
      <c r="H349" s="1026" t="e">
        <v>#DIV/0!</v>
      </c>
      <c r="I349" s="1026" t="e">
        <v>#DIV/0!</v>
      </c>
      <c r="J349" s="1026" t="e">
        <v>#DIV/0!</v>
      </c>
      <c r="K349" s="1026" t="e">
        <v>#DIV/0!</v>
      </c>
      <c r="L349" s="1026" t="e">
        <v>#DIV/0!</v>
      </c>
      <c r="M349" s="1026" t="e">
        <v>#DIV/0!</v>
      </c>
      <c r="N349" s="1026" t="e">
        <v>#DIV/0!</v>
      </c>
      <c r="O349" s="1026" t="e">
        <v>#DIV/0!</v>
      </c>
      <c r="P349" s="1026" t="e">
        <v>#DIV/0!</v>
      </c>
      <c r="Q349" s="1026" t="e">
        <v>#DIV/0!</v>
      </c>
      <c r="R349" s="1026" t="e">
        <v>#DIV/0!</v>
      </c>
      <c r="S349" s="1026" t="e">
        <v>#DIV/0!</v>
      </c>
      <c r="T349" s="1026" t="e">
        <v>#DIV/0!</v>
      </c>
      <c r="U349" s="1026" t="e">
        <v>#DIV/0!</v>
      </c>
      <c r="V349" s="1026" t="e">
        <v>#DIV/0!</v>
      </c>
      <c r="W349" s="1026" t="e">
        <v>#DIV/0!</v>
      </c>
      <c r="X349" s="1026" t="e">
        <v>#DIV/0!</v>
      </c>
      <c r="Y349" s="1026" t="e">
        <v>#DIV/0!</v>
      </c>
      <c r="Z349" s="1026" t="e">
        <v>#DIV/0!</v>
      </c>
      <c r="AA349" s="1026" t="e">
        <v>#DIV/0!</v>
      </c>
      <c r="AB349" s="1026" t="e">
        <v>#DIV/0!</v>
      </c>
      <c r="AC349" s="1026" t="e">
        <v>#DIV/0!</v>
      </c>
      <c r="AD349" s="1026" t="e">
        <v>#DIV/0!</v>
      </c>
      <c r="AE349" s="1026" t="e">
        <v>#DIV/0!</v>
      </c>
      <c r="AF349" s="1026" t="e">
        <v>#DIV/0!</v>
      </c>
      <c r="AG349" s="1026" t="e">
        <v>#DIV/0!</v>
      </c>
      <c r="AH349" s="1026" t="e">
        <v>#DIV/0!</v>
      </c>
      <c r="AI349" s="1026" t="e">
        <v>#DIV/0!</v>
      </c>
      <c r="AJ349" s="1026" t="e">
        <v>#DIV/0!</v>
      </c>
      <c r="AK349" s="1026" t="e">
        <v>#DIV/0!</v>
      </c>
      <c r="AL349" s="1026" t="e">
        <v>#DIV/0!</v>
      </c>
      <c r="AM349" s="1026" t="e">
        <v>#DIV/0!</v>
      </c>
      <c r="AN349" s="1026" t="e">
        <v>#DIV/0!</v>
      </c>
      <c r="AO349" s="1026" t="e">
        <v>#DIV/0!</v>
      </c>
      <c r="AP349" s="1026" t="e">
        <v>#DIV/0!</v>
      </c>
      <c r="AQ349" s="1026" t="e">
        <v>#DIV/0!</v>
      </c>
      <c r="AR349" s="1026" t="e">
        <v>#DIV/0!</v>
      </c>
      <c r="AS349" s="1026" t="e">
        <v>#DIV/0!</v>
      </c>
      <c r="AT349" s="1026" t="e">
        <v>#DIV/0!</v>
      </c>
      <c r="AU349" s="1026" t="e">
        <v>#DIV/0!</v>
      </c>
      <c r="AV349" s="1026" t="e">
        <v>#DIV/0!</v>
      </c>
      <c r="AW349" s="1026" t="e">
        <v>#DIV/0!</v>
      </c>
      <c r="AX349" s="1026" t="e">
        <v>#DIV/0!</v>
      </c>
      <c r="AY349" s="1026" t="e">
        <v>#DIV/0!</v>
      </c>
      <c r="AZ349" s="1026" t="e">
        <v>#DIV/0!</v>
      </c>
      <c r="BA349" s="1026" t="e">
        <v>#DIV/0!</v>
      </c>
      <c r="BB349" s="1026" t="e">
        <v>#DIV/0!</v>
      </c>
      <c r="BC349" s="1026" t="e">
        <v>#DIV/0!</v>
      </c>
      <c r="BD349" s="1026" t="e">
        <v>#DIV/0!</v>
      </c>
      <c r="BE349" s="1026" t="e">
        <v>#DIV/0!</v>
      </c>
      <c r="BF349" s="1026" t="e">
        <v>#DIV/0!</v>
      </c>
      <c r="BG349" s="1026" t="e">
        <v>#DIV/0!</v>
      </c>
      <c r="BH349" s="1026" t="e">
        <v>#DIV/0!</v>
      </c>
      <c r="BI349" s="1026" t="e">
        <v>#DIV/0!</v>
      </c>
      <c r="BJ349" s="1026" t="e">
        <v>#DIV/0!</v>
      </c>
      <c r="BK349" s="922"/>
      <c r="BL349" s="922"/>
    </row>
    <row r="350" spans="1:64" s="371" customFormat="1" x14ac:dyDescent="0.3">
      <c r="A350" s="1015"/>
      <c r="B350" s="947" t="s">
        <v>653</v>
      </c>
      <c r="C350" s="947"/>
      <c r="D350" s="947" t="s">
        <v>657</v>
      </c>
      <c r="E350" s="947"/>
      <c r="F350" s="1026" t="e">
        <v>#DIV/0!</v>
      </c>
      <c r="G350" s="1026" t="e">
        <v>#DIV/0!</v>
      </c>
      <c r="H350" s="1026" t="e">
        <v>#DIV/0!</v>
      </c>
      <c r="I350" s="1026" t="e">
        <v>#DIV/0!</v>
      </c>
      <c r="J350" s="1026" t="e">
        <v>#DIV/0!</v>
      </c>
      <c r="K350" s="1026" t="e">
        <v>#DIV/0!</v>
      </c>
      <c r="L350" s="1026" t="e">
        <v>#DIV/0!</v>
      </c>
      <c r="M350" s="1026" t="e">
        <v>#DIV/0!</v>
      </c>
      <c r="N350" s="1026" t="e">
        <v>#DIV/0!</v>
      </c>
      <c r="O350" s="1026" t="e">
        <v>#DIV/0!</v>
      </c>
      <c r="P350" s="1026" t="e">
        <v>#DIV/0!</v>
      </c>
      <c r="Q350" s="1026" t="e">
        <v>#DIV/0!</v>
      </c>
      <c r="R350" s="1026" t="e">
        <v>#DIV/0!</v>
      </c>
      <c r="S350" s="1026" t="e">
        <v>#DIV/0!</v>
      </c>
      <c r="T350" s="1026" t="e">
        <v>#DIV/0!</v>
      </c>
      <c r="U350" s="1026" t="e">
        <v>#DIV/0!</v>
      </c>
      <c r="V350" s="1026" t="e">
        <v>#DIV/0!</v>
      </c>
      <c r="W350" s="1026" t="e">
        <v>#DIV/0!</v>
      </c>
      <c r="X350" s="1026" t="e">
        <v>#DIV/0!</v>
      </c>
      <c r="Y350" s="1026" t="e">
        <v>#DIV/0!</v>
      </c>
      <c r="Z350" s="1026" t="e">
        <v>#DIV/0!</v>
      </c>
      <c r="AA350" s="1026" t="e">
        <v>#DIV/0!</v>
      </c>
      <c r="AB350" s="1026" t="e">
        <v>#DIV/0!</v>
      </c>
      <c r="AC350" s="1026" t="e">
        <v>#DIV/0!</v>
      </c>
      <c r="AD350" s="1026" t="e">
        <v>#DIV/0!</v>
      </c>
      <c r="AE350" s="1026" t="e">
        <v>#DIV/0!</v>
      </c>
      <c r="AF350" s="1026" t="e">
        <v>#DIV/0!</v>
      </c>
      <c r="AG350" s="1026" t="e">
        <v>#DIV/0!</v>
      </c>
      <c r="AH350" s="1026" t="e">
        <v>#DIV/0!</v>
      </c>
      <c r="AI350" s="1026" t="e">
        <v>#DIV/0!</v>
      </c>
      <c r="AJ350" s="1026" t="e">
        <v>#DIV/0!</v>
      </c>
      <c r="AK350" s="1026" t="e">
        <v>#DIV/0!</v>
      </c>
      <c r="AL350" s="1026" t="e">
        <v>#DIV/0!</v>
      </c>
      <c r="AM350" s="1026" t="e">
        <v>#DIV/0!</v>
      </c>
      <c r="AN350" s="1026" t="e">
        <v>#DIV/0!</v>
      </c>
      <c r="AO350" s="1026" t="e">
        <v>#DIV/0!</v>
      </c>
      <c r="AP350" s="1026" t="e">
        <v>#DIV/0!</v>
      </c>
      <c r="AQ350" s="1026" t="e">
        <v>#DIV/0!</v>
      </c>
      <c r="AR350" s="1026" t="e">
        <v>#DIV/0!</v>
      </c>
      <c r="AS350" s="1026" t="e">
        <v>#DIV/0!</v>
      </c>
      <c r="AT350" s="1026" t="e">
        <v>#DIV/0!</v>
      </c>
      <c r="AU350" s="1026" t="e">
        <v>#DIV/0!</v>
      </c>
      <c r="AV350" s="1026" t="e">
        <v>#DIV/0!</v>
      </c>
      <c r="AW350" s="1026" t="e">
        <v>#DIV/0!</v>
      </c>
      <c r="AX350" s="1026" t="e">
        <v>#DIV/0!</v>
      </c>
      <c r="AY350" s="1026" t="e">
        <v>#DIV/0!</v>
      </c>
      <c r="AZ350" s="1026" t="e">
        <v>#DIV/0!</v>
      </c>
      <c r="BA350" s="1026" t="e">
        <v>#DIV/0!</v>
      </c>
      <c r="BB350" s="1026" t="e">
        <v>#DIV/0!</v>
      </c>
      <c r="BC350" s="1026" t="e">
        <v>#DIV/0!</v>
      </c>
      <c r="BD350" s="1026" t="e">
        <v>#DIV/0!</v>
      </c>
      <c r="BE350" s="1026" t="e">
        <v>#DIV/0!</v>
      </c>
      <c r="BF350" s="1026" t="e">
        <v>#DIV/0!</v>
      </c>
      <c r="BG350" s="1026" t="e">
        <v>#DIV/0!</v>
      </c>
      <c r="BH350" s="1026" t="e">
        <v>#DIV/0!</v>
      </c>
      <c r="BI350" s="1026" t="e">
        <v>#DIV/0!</v>
      </c>
      <c r="BJ350" s="1026" t="e">
        <v>#DIV/0!</v>
      </c>
      <c r="BK350" s="922"/>
      <c r="BL350" s="922"/>
    </row>
    <row r="351" spans="1:64" s="371" customFormat="1" x14ac:dyDescent="0.3">
      <c r="A351" s="1015"/>
      <c r="B351" s="947" t="s">
        <v>659</v>
      </c>
      <c r="C351" s="947"/>
      <c r="D351" s="947" t="s">
        <v>698</v>
      </c>
      <c r="E351" s="947"/>
      <c r="F351" s="1027" t="s">
        <v>1163</v>
      </c>
      <c r="G351" s="1027" t="s">
        <v>1163</v>
      </c>
      <c r="H351" s="1027" t="s">
        <v>1163</v>
      </c>
      <c r="I351" s="1027" t="s">
        <v>1163</v>
      </c>
      <c r="J351" s="1027" t="s">
        <v>1163</v>
      </c>
      <c r="K351" s="1027" t="s">
        <v>1163</v>
      </c>
      <c r="L351" s="1027" t="s">
        <v>1163</v>
      </c>
      <c r="M351" s="1027" t="s">
        <v>1163</v>
      </c>
      <c r="N351" s="1027" t="s">
        <v>1164</v>
      </c>
      <c r="O351" s="1027" t="s">
        <v>1163</v>
      </c>
      <c r="P351" s="1027" t="s">
        <v>1163</v>
      </c>
      <c r="Q351" s="1027" t="s">
        <v>1163</v>
      </c>
      <c r="R351" s="1027" t="s">
        <v>1163</v>
      </c>
      <c r="S351" s="1027" t="s">
        <v>1163</v>
      </c>
      <c r="T351" s="1027" t="s">
        <v>1163</v>
      </c>
      <c r="U351" s="1027" t="s">
        <v>1163</v>
      </c>
      <c r="V351" s="1027" t="s">
        <v>1163</v>
      </c>
      <c r="W351" s="1027" t="s">
        <v>1163</v>
      </c>
      <c r="X351" s="1027" t="s">
        <v>1163</v>
      </c>
      <c r="Y351" s="1027" t="s">
        <v>1163</v>
      </c>
      <c r="Z351" s="1027" t="s">
        <v>1163</v>
      </c>
      <c r="AA351" s="1027" t="s">
        <v>1163</v>
      </c>
      <c r="AB351" s="1027" t="s">
        <v>1163</v>
      </c>
      <c r="AC351" s="1027" t="s">
        <v>1163</v>
      </c>
      <c r="AD351" s="1027" t="s">
        <v>1163</v>
      </c>
      <c r="AE351" s="1027" t="s">
        <v>1163</v>
      </c>
      <c r="AF351" s="1027" t="s">
        <v>1163</v>
      </c>
      <c r="AG351" s="1027" t="s">
        <v>1163</v>
      </c>
      <c r="AH351" s="1027" t="s">
        <v>1163</v>
      </c>
      <c r="AI351" s="1027" t="s">
        <v>1163</v>
      </c>
      <c r="AJ351" s="1027" t="s">
        <v>1163</v>
      </c>
      <c r="AK351" s="1027" t="s">
        <v>1163</v>
      </c>
      <c r="AL351" s="1027" t="s">
        <v>1163</v>
      </c>
      <c r="AM351" s="1027" t="s">
        <v>1163</v>
      </c>
      <c r="AN351" s="1027" t="s">
        <v>1163</v>
      </c>
      <c r="AO351" s="1027" t="s">
        <v>1163</v>
      </c>
      <c r="AP351" s="1027" t="s">
        <v>1163</v>
      </c>
      <c r="AQ351" s="1027" t="s">
        <v>1163</v>
      </c>
      <c r="AR351" s="1027" t="s">
        <v>1163</v>
      </c>
      <c r="AS351" s="1027" t="s">
        <v>1164</v>
      </c>
      <c r="AT351" s="1027" t="s">
        <v>1163</v>
      </c>
      <c r="AU351" s="1027" t="s">
        <v>1163</v>
      </c>
      <c r="AV351" s="1027" t="s">
        <v>1163</v>
      </c>
      <c r="AW351" s="1027" t="s">
        <v>1163</v>
      </c>
      <c r="AX351" s="1027" t="s">
        <v>1163</v>
      </c>
      <c r="AY351" s="1027" t="s">
        <v>1165</v>
      </c>
      <c r="AZ351" s="1027" t="s">
        <v>1163</v>
      </c>
      <c r="BA351" s="1027" t="s">
        <v>1163</v>
      </c>
      <c r="BB351" s="1027" t="s">
        <v>1163</v>
      </c>
      <c r="BC351" s="1027" t="s">
        <v>1163</v>
      </c>
      <c r="BD351" s="1027" t="s">
        <v>1163</v>
      </c>
      <c r="BE351" s="1027" t="s">
        <v>1163</v>
      </c>
      <c r="BF351" s="1027" t="s">
        <v>1166</v>
      </c>
      <c r="BG351" s="1027" t="s">
        <v>1163</v>
      </c>
      <c r="BH351" s="1027" t="s">
        <v>1163</v>
      </c>
      <c r="BI351" s="1027" t="s">
        <v>1163</v>
      </c>
      <c r="BJ351" s="1027" t="s">
        <v>1163</v>
      </c>
      <c r="BK351" s="923"/>
      <c r="BL351" s="923"/>
    </row>
    <row r="352" spans="1:64" s="371" customFormat="1" x14ac:dyDescent="0.3">
      <c r="A352" s="1015"/>
      <c r="B352" s="947" t="s">
        <v>660</v>
      </c>
      <c r="C352" s="947"/>
      <c r="D352" s="947" t="s">
        <v>661</v>
      </c>
      <c r="E352" s="947"/>
      <c r="F352" s="1026" t="e">
        <v>#DIV/0!</v>
      </c>
      <c r="G352" s="1026" t="e">
        <v>#DIV/0!</v>
      </c>
      <c r="H352" s="1026" t="e">
        <v>#DIV/0!</v>
      </c>
      <c r="I352" s="1026" t="e">
        <v>#DIV/0!</v>
      </c>
      <c r="J352" s="1026" t="e">
        <v>#DIV/0!</v>
      </c>
      <c r="K352" s="1026" t="e">
        <v>#DIV/0!</v>
      </c>
      <c r="L352" s="1026" t="e">
        <v>#DIV/0!</v>
      </c>
      <c r="M352" s="1026" t="e">
        <v>#DIV/0!</v>
      </c>
      <c r="N352" s="1026" t="e">
        <v>#DIV/0!</v>
      </c>
      <c r="O352" s="1026" t="e">
        <v>#DIV/0!</v>
      </c>
      <c r="P352" s="1026" t="e">
        <v>#DIV/0!</v>
      </c>
      <c r="Q352" s="1026" t="e">
        <v>#DIV/0!</v>
      </c>
      <c r="R352" s="1026" t="e">
        <v>#DIV/0!</v>
      </c>
      <c r="S352" s="1026" t="e">
        <v>#DIV/0!</v>
      </c>
      <c r="T352" s="1026" t="e">
        <v>#DIV/0!</v>
      </c>
      <c r="U352" s="1026" t="e">
        <v>#DIV/0!</v>
      </c>
      <c r="V352" s="1026" t="e">
        <v>#DIV/0!</v>
      </c>
      <c r="W352" s="1026" t="e">
        <v>#DIV/0!</v>
      </c>
      <c r="X352" s="1026" t="e">
        <v>#DIV/0!</v>
      </c>
      <c r="Y352" s="1026" t="e">
        <v>#DIV/0!</v>
      </c>
      <c r="Z352" s="1026" t="e">
        <v>#DIV/0!</v>
      </c>
      <c r="AA352" s="1026" t="e">
        <v>#DIV/0!</v>
      </c>
      <c r="AB352" s="1026" t="e">
        <v>#DIV/0!</v>
      </c>
      <c r="AC352" s="1026" t="e">
        <v>#DIV/0!</v>
      </c>
      <c r="AD352" s="1026" t="e">
        <v>#DIV/0!</v>
      </c>
      <c r="AE352" s="1026" t="e">
        <v>#DIV/0!</v>
      </c>
      <c r="AF352" s="1026" t="e">
        <v>#DIV/0!</v>
      </c>
      <c r="AG352" s="1026" t="e">
        <v>#DIV/0!</v>
      </c>
      <c r="AH352" s="1026" t="e">
        <v>#DIV/0!</v>
      </c>
      <c r="AI352" s="1026" t="e">
        <v>#DIV/0!</v>
      </c>
      <c r="AJ352" s="1026" t="e">
        <v>#DIV/0!</v>
      </c>
      <c r="AK352" s="1026" t="e">
        <v>#DIV/0!</v>
      </c>
      <c r="AL352" s="1026" t="e">
        <v>#DIV/0!</v>
      </c>
      <c r="AM352" s="1026" t="e">
        <v>#DIV/0!</v>
      </c>
      <c r="AN352" s="1026" t="e">
        <v>#DIV/0!</v>
      </c>
      <c r="AO352" s="1026" t="e">
        <v>#DIV/0!</v>
      </c>
      <c r="AP352" s="1026" t="e">
        <v>#DIV/0!</v>
      </c>
      <c r="AQ352" s="1026" t="e">
        <v>#DIV/0!</v>
      </c>
      <c r="AR352" s="1026" t="e">
        <v>#DIV/0!</v>
      </c>
      <c r="AS352" s="1026" t="e">
        <v>#DIV/0!</v>
      </c>
      <c r="AT352" s="1026" t="e">
        <v>#DIV/0!</v>
      </c>
      <c r="AU352" s="1026" t="e">
        <v>#DIV/0!</v>
      </c>
      <c r="AV352" s="1026" t="e">
        <v>#DIV/0!</v>
      </c>
      <c r="AW352" s="1026" t="e">
        <v>#DIV/0!</v>
      </c>
      <c r="AX352" s="1026" t="e">
        <v>#DIV/0!</v>
      </c>
      <c r="AY352" s="1026" t="e">
        <v>#DIV/0!</v>
      </c>
      <c r="AZ352" s="1026" t="e">
        <v>#DIV/0!</v>
      </c>
      <c r="BA352" s="1026" t="e">
        <v>#DIV/0!</v>
      </c>
      <c r="BB352" s="1026" t="e">
        <v>#DIV/0!</v>
      </c>
      <c r="BC352" s="1026" t="e">
        <v>#DIV/0!</v>
      </c>
      <c r="BD352" s="1026" t="e">
        <v>#DIV/0!</v>
      </c>
      <c r="BE352" s="1026" t="e">
        <v>#DIV/0!</v>
      </c>
      <c r="BF352" s="1026" t="e">
        <v>#DIV/0!</v>
      </c>
      <c r="BG352" s="1026" t="e">
        <v>#DIV/0!</v>
      </c>
      <c r="BH352" s="1026" t="e">
        <v>#DIV/0!</v>
      </c>
      <c r="BI352" s="1026" t="e">
        <v>#DIV/0!</v>
      </c>
      <c r="BJ352" s="1026" t="e">
        <v>#DIV/0!</v>
      </c>
      <c r="BK352" s="922"/>
      <c r="BL352" s="922"/>
    </row>
    <row r="353" spans="1:64" s="371" customFormat="1" x14ac:dyDescent="0.3">
      <c r="A353" s="1015"/>
      <c r="B353" s="947" t="s">
        <v>1167</v>
      </c>
      <c r="C353" s="947"/>
      <c r="D353" s="947" t="s">
        <v>674</v>
      </c>
      <c r="E353" s="947"/>
      <c r="F353" s="1008">
        <v>0</v>
      </c>
      <c r="G353" s="1008">
        <v>0</v>
      </c>
      <c r="H353" s="1008">
        <v>0</v>
      </c>
      <c r="I353" s="1008">
        <v>0</v>
      </c>
      <c r="J353" s="1008">
        <v>0</v>
      </c>
      <c r="K353" s="1008">
        <v>0</v>
      </c>
      <c r="L353" s="1008">
        <v>0</v>
      </c>
      <c r="M353" s="1008">
        <v>0</v>
      </c>
      <c r="N353" s="1008">
        <v>0</v>
      </c>
      <c r="O353" s="1008">
        <v>0</v>
      </c>
      <c r="P353" s="1008">
        <v>0</v>
      </c>
      <c r="Q353" s="1008">
        <v>0</v>
      </c>
      <c r="R353" s="1008">
        <v>0</v>
      </c>
      <c r="S353" s="1008">
        <v>0</v>
      </c>
      <c r="T353" s="1008">
        <v>0</v>
      </c>
      <c r="U353" s="1008">
        <v>0</v>
      </c>
      <c r="V353" s="1008">
        <v>0</v>
      </c>
      <c r="W353" s="1008">
        <v>0</v>
      </c>
      <c r="X353" s="1008">
        <v>0</v>
      </c>
      <c r="Y353" s="1008">
        <v>0</v>
      </c>
      <c r="Z353" s="1008">
        <v>0</v>
      </c>
      <c r="AA353" s="1008">
        <v>0</v>
      </c>
      <c r="AB353" s="1008">
        <v>0</v>
      </c>
      <c r="AC353" s="1008">
        <v>0</v>
      </c>
      <c r="AD353" s="1008">
        <v>0</v>
      </c>
      <c r="AE353" s="1008">
        <v>0</v>
      </c>
      <c r="AF353" s="1008">
        <v>0</v>
      </c>
      <c r="AG353" s="1008">
        <v>0</v>
      </c>
      <c r="AH353" s="1008">
        <v>0</v>
      </c>
      <c r="AI353" s="1008">
        <v>0</v>
      </c>
      <c r="AJ353" s="1008">
        <v>0</v>
      </c>
      <c r="AK353" s="1008">
        <v>0</v>
      </c>
      <c r="AL353" s="1008">
        <v>0</v>
      </c>
      <c r="AM353" s="1008">
        <v>0</v>
      </c>
      <c r="AN353" s="1008">
        <v>0</v>
      </c>
      <c r="AO353" s="1008">
        <v>0</v>
      </c>
      <c r="AP353" s="1008">
        <v>0</v>
      </c>
      <c r="AQ353" s="1008">
        <v>0</v>
      </c>
      <c r="AR353" s="1008">
        <v>0</v>
      </c>
      <c r="AS353" s="1008">
        <v>0</v>
      </c>
      <c r="AT353" s="1008">
        <v>0</v>
      </c>
      <c r="AU353" s="1008">
        <v>0</v>
      </c>
      <c r="AV353" s="1008">
        <v>0</v>
      </c>
      <c r="AW353" s="1008">
        <v>0</v>
      </c>
      <c r="AX353" s="1008">
        <v>0</v>
      </c>
      <c r="AY353" s="1008">
        <v>0</v>
      </c>
      <c r="AZ353" s="1008">
        <v>0</v>
      </c>
      <c r="BA353" s="1008">
        <v>0</v>
      </c>
      <c r="BB353" s="1008">
        <v>0</v>
      </c>
      <c r="BC353" s="1008">
        <v>0</v>
      </c>
      <c r="BD353" s="1008">
        <v>0</v>
      </c>
      <c r="BE353" s="1008">
        <v>0</v>
      </c>
      <c r="BF353" s="1008">
        <v>0</v>
      </c>
      <c r="BG353" s="1008">
        <v>0</v>
      </c>
      <c r="BH353" s="1008">
        <v>0</v>
      </c>
      <c r="BI353" s="1008">
        <v>0</v>
      </c>
      <c r="BJ353" s="1008">
        <v>0</v>
      </c>
      <c r="BK353" s="924"/>
      <c r="BL353" s="924"/>
    </row>
    <row r="354" spans="1:64" s="371" customFormat="1" x14ac:dyDescent="0.3">
      <c r="A354" s="1015"/>
      <c r="B354" s="947" t="s">
        <v>673</v>
      </c>
      <c r="C354" s="947"/>
      <c r="D354" s="947"/>
      <c r="E354" s="947"/>
      <c r="F354" s="1008"/>
      <c r="G354" s="1008"/>
      <c r="H354" s="1008"/>
      <c r="I354" s="1008"/>
      <c r="J354" s="1008"/>
      <c r="K354" s="1008"/>
      <c r="L354" s="1008"/>
      <c r="M354" s="1008"/>
      <c r="N354" s="1008"/>
      <c r="O354" s="1008"/>
      <c r="P354" s="1008"/>
      <c r="Q354" s="1008"/>
      <c r="R354" s="1008"/>
      <c r="S354" s="1008"/>
      <c r="T354" s="1008"/>
      <c r="U354" s="1008"/>
      <c r="V354" s="1008"/>
      <c r="W354" s="1008"/>
      <c r="X354" s="1008"/>
      <c r="Y354" s="1008"/>
      <c r="Z354" s="1008"/>
      <c r="AA354" s="1008"/>
      <c r="AB354" s="1008"/>
      <c r="AC354" s="1008"/>
      <c r="AD354" s="1008"/>
      <c r="AE354" s="1008"/>
      <c r="AF354" s="1008"/>
      <c r="AG354" s="1008"/>
      <c r="AH354" s="1008"/>
      <c r="AI354" s="1008"/>
      <c r="AJ354" s="1008"/>
      <c r="AK354" s="1008"/>
      <c r="AL354" s="1008"/>
      <c r="AM354" s="1008"/>
      <c r="AN354" s="1008"/>
      <c r="AO354" s="1008"/>
      <c r="AP354" s="1008"/>
      <c r="AQ354" s="1008"/>
      <c r="AR354" s="1008"/>
      <c r="AS354" s="1008"/>
      <c r="AT354" s="1008"/>
      <c r="AU354" s="1008"/>
      <c r="AV354" s="1008"/>
      <c r="AW354" s="1008"/>
      <c r="AX354" s="1008"/>
      <c r="AY354" s="1008"/>
      <c r="AZ354" s="1008"/>
      <c r="BA354" s="1008"/>
      <c r="BB354" s="1008"/>
      <c r="BC354" s="1008"/>
      <c r="BD354" s="1008"/>
      <c r="BE354" s="1008"/>
      <c r="BF354" s="1008"/>
      <c r="BG354" s="1008"/>
      <c r="BH354" s="1008"/>
      <c r="BI354" s="1008"/>
      <c r="BJ354" s="1008"/>
      <c r="BK354" s="903"/>
      <c r="BL354" s="903"/>
    </row>
    <row r="355" spans="1:64" s="371" customFormat="1" x14ac:dyDescent="0.3">
      <c r="A355" s="1015"/>
      <c r="B355" s="947"/>
      <c r="C355" s="947"/>
      <c r="D355" s="947"/>
      <c r="E355" s="947"/>
      <c r="F355" s="1008"/>
      <c r="G355" s="1008"/>
      <c r="H355" s="1008"/>
      <c r="I355" s="1008"/>
      <c r="J355" s="1008"/>
      <c r="K355" s="1008"/>
      <c r="L355" s="1008"/>
      <c r="M355" s="1008"/>
      <c r="N355" s="1008"/>
      <c r="O355" s="1008"/>
      <c r="P355" s="1008"/>
      <c r="Q355" s="1008"/>
      <c r="R355" s="1008"/>
      <c r="S355" s="1008"/>
      <c r="T355" s="1008"/>
      <c r="U355" s="1008"/>
      <c r="V355" s="1008"/>
      <c r="W355" s="1008"/>
      <c r="X355" s="1008"/>
      <c r="Y355" s="1008"/>
      <c r="Z355" s="1008"/>
      <c r="AA355" s="1008"/>
      <c r="AB355" s="1008"/>
      <c r="AC355" s="1008"/>
      <c r="AD355" s="1008"/>
      <c r="AE355" s="1008"/>
      <c r="AF355" s="1008"/>
      <c r="AG355" s="1008"/>
      <c r="AH355" s="1008"/>
      <c r="AI355" s="1008"/>
      <c r="AJ355" s="1008"/>
      <c r="AK355" s="1008"/>
      <c r="AL355" s="1008"/>
      <c r="AM355" s="1008"/>
      <c r="AN355" s="1008"/>
      <c r="AO355" s="1008"/>
      <c r="AP355" s="1008"/>
      <c r="AQ355" s="1008"/>
      <c r="AR355" s="1008"/>
      <c r="AS355" s="1008"/>
      <c r="AT355" s="1008"/>
      <c r="AU355" s="1008"/>
      <c r="AV355" s="1008"/>
      <c r="AW355" s="1008"/>
      <c r="AX355" s="1008"/>
      <c r="AY355" s="1008"/>
      <c r="AZ355" s="1008"/>
      <c r="BA355" s="1008"/>
      <c r="BB355" s="1008"/>
      <c r="BC355" s="1008"/>
      <c r="BD355" s="1008"/>
      <c r="BE355" s="1008"/>
      <c r="BF355" s="1008"/>
      <c r="BG355" s="1008"/>
      <c r="BH355" s="1008"/>
      <c r="BI355" s="1008"/>
      <c r="BJ355" s="1008"/>
      <c r="BK355" s="903"/>
      <c r="BL355" s="903"/>
    </row>
    <row r="356" spans="1:64" s="371" customFormat="1" x14ac:dyDescent="0.3">
      <c r="A356" s="1015"/>
      <c r="B356" s="947"/>
      <c r="C356" s="947"/>
      <c r="D356" s="947"/>
      <c r="E356" s="947"/>
      <c r="F356" s="1008"/>
      <c r="G356" s="1008"/>
      <c r="H356" s="1008"/>
      <c r="I356" s="1008"/>
      <c r="J356" s="1008"/>
      <c r="K356" s="1008"/>
      <c r="L356" s="1008"/>
      <c r="M356" s="1008"/>
      <c r="N356" s="1008"/>
      <c r="O356" s="1008"/>
      <c r="P356" s="1008"/>
      <c r="Q356" s="1008"/>
      <c r="R356" s="1008"/>
      <c r="S356" s="1008"/>
      <c r="T356" s="1008"/>
      <c r="U356" s="1008"/>
      <c r="V356" s="1008"/>
      <c r="W356" s="1008"/>
      <c r="X356" s="1008"/>
      <c r="Y356" s="1008"/>
      <c r="Z356" s="1008"/>
      <c r="AA356" s="1008"/>
      <c r="AB356" s="1008"/>
      <c r="AC356" s="1008"/>
      <c r="AD356" s="1008"/>
      <c r="AE356" s="1008"/>
      <c r="AF356" s="1008"/>
      <c r="AG356" s="1008"/>
      <c r="AH356" s="1008"/>
      <c r="AI356" s="1008"/>
      <c r="AJ356" s="1008"/>
      <c r="AK356" s="1008"/>
      <c r="AL356" s="1008"/>
      <c r="AM356" s="1008"/>
      <c r="AN356" s="1008"/>
      <c r="AO356" s="1008"/>
      <c r="AP356" s="1008"/>
      <c r="AQ356" s="1008"/>
      <c r="AR356" s="1008"/>
      <c r="AS356" s="1008"/>
      <c r="AT356" s="1008"/>
      <c r="AU356" s="1008"/>
      <c r="AV356" s="1008"/>
      <c r="AW356" s="1008"/>
      <c r="AX356" s="1008"/>
      <c r="AY356" s="1008"/>
      <c r="AZ356" s="1008"/>
      <c r="BA356" s="1008"/>
      <c r="BB356" s="1008"/>
      <c r="BC356" s="1008"/>
      <c r="BD356" s="1008"/>
      <c r="BE356" s="1008"/>
      <c r="BF356" s="1008"/>
      <c r="BG356" s="1008"/>
      <c r="BH356" s="1008"/>
      <c r="BI356" s="1008"/>
      <c r="BJ356" s="1008"/>
      <c r="BK356" s="903"/>
      <c r="BL356" s="903"/>
    </row>
    <row r="357" spans="1:64" x14ac:dyDescent="0.3">
      <c r="A357" s="1029"/>
      <c r="B357" s="1029"/>
      <c r="C357" s="1029"/>
      <c r="D357" s="1029"/>
      <c r="E357" s="1029"/>
      <c r="F357" s="1028"/>
      <c r="G357" s="1028"/>
      <c r="H357" s="1028"/>
      <c r="I357" s="1028"/>
      <c r="J357" s="1028"/>
      <c r="K357" s="1028"/>
      <c r="L357" s="1028"/>
      <c r="M357" s="1028"/>
      <c r="N357" s="1028"/>
      <c r="O357" s="1028"/>
      <c r="P357" s="1028"/>
      <c r="Q357" s="1028"/>
      <c r="R357" s="1028"/>
      <c r="S357" s="1028"/>
      <c r="T357" s="1028"/>
      <c r="U357" s="1028"/>
      <c r="V357" s="1028"/>
      <c r="W357" s="1028"/>
      <c r="X357" s="1028"/>
      <c r="Y357" s="1028"/>
      <c r="Z357" s="1028"/>
      <c r="AA357" s="1028"/>
      <c r="AB357" s="1028"/>
      <c r="AC357" s="1028"/>
      <c r="AD357" s="1028"/>
      <c r="AE357" s="1028"/>
      <c r="AF357" s="1028"/>
      <c r="AG357" s="1028"/>
      <c r="AH357" s="1028"/>
      <c r="AI357" s="1028"/>
      <c r="AJ357" s="1028"/>
      <c r="AK357" s="1028"/>
      <c r="AL357" s="1028"/>
      <c r="AM357" s="1028"/>
      <c r="AN357" s="1028"/>
      <c r="AO357" s="1028"/>
      <c r="AP357" s="1028"/>
      <c r="AQ357" s="1028"/>
      <c r="AR357" s="1028"/>
      <c r="AS357" s="1028"/>
      <c r="AT357" s="1028"/>
      <c r="AU357" s="1028"/>
      <c r="AV357" s="1028"/>
      <c r="AW357" s="1028"/>
      <c r="AX357" s="1028"/>
      <c r="AY357" s="1028"/>
      <c r="AZ357" s="1028"/>
      <c r="BA357" s="1028"/>
      <c r="BB357" s="1028"/>
      <c r="BC357" s="1028"/>
      <c r="BD357" s="1028"/>
      <c r="BE357" s="1028"/>
      <c r="BF357" s="1028"/>
      <c r="BG357" s="1028"/>
      <c r="BH357" s="1028"/>
      <c r="BI357" s="1028"/>
      <c r="BJ357" s="1028"/>
      <c r="BK357" s="924"/>
      <c r="BL357" s="924"/>
    </row>
    <row r="358" spans="1:64" x14ac:dyDescent="0.3">
      <c r="A358" s="1029"/>
      <c r="B358" s="1029"/>
      <c r="C358" s="1029"/>
      <c r="D358" s="1029" t="s">
        <v>694</v>
      </c>
      <c r="E358" s="1029"/>
      <c r="F358" s="1028">
        <v>508828750</v>
      </c>
      <c r="G358" s="1028">
        <v>913011811</v>
      </c>
      <c r="H358" s="1028">
        <v>699174239</v>
      </c>
      <c r="I358" s="1028">
        <v>258897921</v>
      </c>
      <c r="J358" s="1028">
        <v>903490009</v>
      </c>
      <c r="K358" s="1028">
        <v>443505324</v>
      </c>
      <c r="L358" s="1028">
        <v>236090681</v>
      </c>
      <c r="M358" s="1028">
        <v>342465629.39999998</v>
      </c>
      <c r="N358" s="1028">
        <v>35188990765.400002</v>
      </c>
      <c r="O358" s="1028">
        <v>185967132</v>
      </c>
      <c r="P358" s="1028">
        <v>349058341</v>
      </c>
      <c r="Q358" s="1028">
        <v>1604011039</v>
      </c>
      <c r="R358" s="1028">
        <v>553058650</v>
      </c>
      <c r="S358" s="1028">
        <v>200558717</v>
      </c>
      <c r="T358" s="1028">
        <v>10903804</v>
      </c>
      <c r="U358" s="1028">
        <v>1259335381</v>
      </c>
      <c r="V358" s="1028">
        <v>3129303319</v>
      </c>
      <c r="W358" s="1028">
        <v>326773905</v>
      </c>
      <c r="X358" s="1028">
        <v>192083015</v>
      </c>
      <c r="Y358" s="1028">
        <v>2448364087</v>
      </c>
      <c r="Z358" s="1028">
        <v>876507710</v>
      </c>
      <c r="AA358" s="1028">
        <v>150462109.40000001</v>
      </c>
      <c r="AB358" s="1028">
        <v>992355398</v>
      </c>
      <c r="AC358" s="1028">
        <v>170779020</v>
      </c>
      <c r="AD358" s="1028">
        <v>296527529</v>
      </c>
      <c r="AE358" s="1028">
        <v>1996442657</v>
      </c>
      <c r="AF358" s="1028">
        <v>204722757</v>
      </c>
      <c r="AG358" s="1028">
        <v>1523901162.4000001</v>
      </c>
      <c r="AH358" s="1028">
        <v>584436669</v>
      </c>
      <c r="AI358" s="1028">
        <v>229715838</v>
      </c>
      <c r="AJ358" s="1028">
        <v>1895150698</v>
      </c>
      <c r="AK358" s="1028">
        <v>989024710</v>
      </c>
      <c r="AL358" s="1028">
        <v>1574073202</v>
      </c>
      <c r="AM358" s="1028">
        <v>760076637</v>
      </c>
      <c r="AN358" s="1028">
        <v>740470386</v>
      </c>
      <c r="AO358" s="1028">
        <v>611719479</v>
      </c>
      <c r="AP358" s="1028">
        <v>625818368</v>
      </c>
      <c r="AQ358" s="1028">
        <v>613739801</v>
      </c>
      <c r="AR358" s="1028">
        <v>720128172</v>
      </c>
      <c r="AS358" s="1028">
        <v>34775350889.400002</v>
      </c>
      <c r="AT358" s="1028">
        <v>257178534</v>
      </c>
      <c r="AU358" s="1028">
        <v>355361018</v>
      </c>
      <c r="AV358" s="1028">
        <v>74646936</v>
      </c>
      <c r="AW358" s="1028">
        <v>3559532310</v>
      </c>
      <c r="AX358" s="1028">
        <v>521934042</v>
      </c>
      <c r="AY358" s="1028">
        <v>21860235787</v>
      </c>
      <c r="AZ358" s="1028">
        <v>186774118</v>
      </c>
      <c r="BA358" s="1028">
        <v>156961808</v>
      </c>
      <c r="BB358" s="1028">
        <v>411850048</v>
      </c>
      <c r="BC358" s="1028">
        <v>1316670955</v>
      </c>
      <c r="BD358" s="1028">
        <v>87530334</v>
      </c>
      <c r="BE358" s="1028">
        <v>183248947</v>
      </c>
      <c r="BF358" s="1028">
        <v>32541549116.299999</v>
      </c>
      <c r="BG358" s="1028">
        <v>901445654</v>
      </c>
      <c r="BH358" s="1028">
        <v>5661064422</v>
      </c>
      <c r="BI358" s="1028">
        <v>430002993</v>
      </c>
      <c r="BJ358" s="1028">
        <v>218760386</v>
      </c>
      <c r="BK358" s="924"/>
      <c r="BL358" s="924"/>
    </row>
    <row r="359" spans="1:64" x14ac:dyDescent="0.3">
      <c r="A359" s="1029"/>
      <c r="B359" s="1029"/>
      <c r="C359" s="1029"/>
      <c r="D359" s="1029" t="s">
        <v>695</v>
      </c>
      <c r="E359" s="1029"/>
      <c r="F359" s="1028">
        <v>508828750</v>
      </c>
      <c r="G359" s="1028">
        <v>913011811</v>
      </c>
      <c r="H359" s="1028">
        <v>699174239</v>
      </c>
      <c r="I359" s="1028">
        <v>258897921</v>
      </c>
      <c r="J359" s="1028">
        <v>903490009</v>
      </c>
      <c r="K359" s="1028">
        <v>443505324</v>
      </c>
      <c r="L359" s="1028">
        <v>236090681</v>
      </c>
      <c r="M359" s="1028">
        <v>342465629.39999998</v>
      </c>
      <c r="N359" s="1028">
        <v>35188990765.400002</v>
      </c>
      <c r="O359" s="1028">
        <v>185967132</v>
      </c>
      <c r="P359" s="1028">
        <v>349058341</v>
      </c>
      <c r="Q359" s="1028">
        <v>1604011039</v>
      </c>
      <c r="R359" s="1028">
        <v>553058650</v>
      </c>
      <c r="S359" s="1028">
        <v>200558717</v>
      </c>
      <c r="T359" s="1028">
        <v>10903804</v>
      </c>
      <c r="U359" s="1028">
        <v>1259335381</v>
      </c>
      <c r="V359" s="1028">
        <v>3129303319</v>
      </c>
      <c r="W359" s="1028">
        <v>326773905</v>
      </c>
      <c r="X359" s="1028">
        <v>192083015</v>
      </c>
      <c r="Y359" s="1028">
        <v>2448364087</v>
      </c>
      <c r="Z359" s="1028">
        <v>876507710</v>
      </c>
      <c r="AA359" s="1028">
        <v>150462109.40000001</v>
      </c>
      <c r="AB359" s="1028">
        <v>992355398</v>
      </c>
      <c r="AC359" s="1028">
        <v>170779020</v>
      </c>
      <c r="AD359" s="1028">
        <v>296527529</v>
      </c>
      <c r="AE359" s="1028">
        <v>1996442657</v>
      </c>
      <c r="AF359" s="1028">
        <v>204722757</v>
      </c>
      <c r="AG359" s="1028">
        <v>1523901162.4000001</v>
      </c>
      <c r="AH359" s="1028">
        <v>584436669</v>
      </c>
      <c r="AI359" s="1028">
        <v>229715838</v>
      </c>
      <c r="AJ359" s="1028">
        <v>1895150698</v>
      </c>
      <c r="AK359" s="1028">
        <v>989024710</v>
      </c>
      <c r="AL359" s="1028">
        <v>1574073202</v>
      </c>
      <c r="AM359" s="1028">
        <v>760076637</v>
      </c>
      <c r="AN359" s="1028">
        <v>740470386</v>
      </c>
      <c r="AO359" s="1028">
        <v>611719479</v>
      </c>
      <c r="AP359" s="1028">
        <v>625818368</v>
      </c>
      <c r="AQ359" s="1028">
        <v>613739801</v>
      </c>
      <c r="AR359" s="1028">
        <v>720128172</v>
      </c>
      <c r="AS359" s="1028">
        <v>34775350889.400002</v>
      </c>
      <c r="AT359" s="1028">
        <v>257178534</v>
      </c>
      <c r="AU359" s="1028">
        <v>355361018</v>
      </c>
      <c r="AV359" s="1028">
        <v>74646936</v>
      </c>
      <c r="AW359" s="1028">
        <v>3559532310</v>
      </c>
      <c r="AX359" s="1028">
        <v>521934042</v>
      </c>
      <c r="AY359" s="1028">
        <v>21860235787</v>
      </c>
      <c r="AZ359" s="1028">
        <v>186774118</v>
      </c>
      <c r="BA359" s="1028">
        <v>156961808</v>
      </c>
      <c r="BB359" s="1028">
        <v>411850048</v>
      </c>
      <c r="BC359" s="1028">
        <v>1316670955</v>
      </c>
      <c r="BD359" s="1028">
        <v>87530334</v>
      </c>
      <c r="BE359" s="1028">
        <v>183248947</v>
      </c>
      <c r="BF359" s="1028">
        <v>32541549116.299999</v>
      </c>
      <c r="BG359" s="1028">
        <v>901445654</v>
      </c>
      <c r="BH359" s="1028">
        <v>5661064422</v>
      </c>
      <c r="BI359" s="1028">
        <v>430002993</v>
      </c>
      <c r="BJ359" s="1028">
        <v>218760386</v>
      </c>
      <c r="BK359" s="924"/>
      <c r="BL359" s="924"/>
    </row>
    <row r="360" spans="1:64" x14ac:dyDescent="0.3">
      <c r="A360" s="1029"/>
      <c r="B360" s="1029"/>
      <c r="C360" s="1029"/>
      <c r="D360" s="1029"/>
      <c r="E360" s="1029"/>
      <c r="F360" s="1028">
        <v>0</v>
      </c>
      <c r="G360" s="1028">
        <v>0</v>
      </c>
      <c r="H360" s="1028">
        <v>0</v>
      </c>
      <c r="I360" s="1028">
        <v>0</v>
      </c>
      <c r="J360" s="1028">
        <v>0</v>
      </c>
      <c r="K360" s="1028">
        <v>0</v>
      </c>
      <c r="L360" s="1028">
        <v>0</v>
      </c>
      <c r="M360" s="1028">
        <v>0</v>
      </c>
      <c r="N360" s="1028">
        <v>0</v>
      </c>
      <c r="O360" s="1028">
        <v>0</v>
      </c>
      <c r="P360" s="1028">
        <v>0</v>
      </c>
      <c r="Q360" s="1028">
        <v>0</v>
      </c>
      <c r="R360" s="1028">
        <v>0</v>
      </c>
      <c r="S360" s="1028">
        <v>0</v>
      </c>
      <c r="T360" s="1028">
        <v>0</v>
      </c>
      <c r="U360" s="1028">
        <v>0</v>
      </c>
      <c r="V360" s="1028">
        <v>0</v>
      </c>
      <c r="W360" s="1028">
        <v>0</v>
      </c>
      <c r="X360" s="1028">
        <v>0</v>
      </c>
      <c r="Y360" s="1028">
        <v>0</v>
      </c>
      <c r="Z360" s="1028">
        <v>0</v>
      </c>
      <c r="AA360" s="1028">
        <v>0</v>
      </c>
      <c r="AB360" s="1028">
        <v>0</v>
      </c>
      <c r="AC360" s="1028">
        <v>0</v>
      </c>
      <c r="AD360" s="1028">
        <v>0</v>
      </c>
      <c r="AE360" s="1028">
        <v>0</v>
      </c>
      <c r="AF360" s="1028">
        <v>0</v>
      </c>
      <c r="AG360" s="1028">
        <v>0</v>
      </c>
      <c r="AH360" s="1028">
        <v>0</v>
      </c>
      <c r="AI360" s="1028">
        <v>0</v>
      </c>
      <c r="AJ360" s="1028">
        <v>0</v>
      </c>
      <c r="AK360" s="1028">
        <v>0</v>
      </c>
      <c r="AL360" s="1028">
        <v>0</v>
      </c>
      <c r="AM360" s="1028">
        <v>0</v>
      </c>
      <c r="AN360" s="1028">
        <v>0</v>
      </c>
      <c r="AO360" s="1028">
        <v>0</v>
      </c>
      <c r="AP360" s="1028">
        <v>0</v>
      </c>
      <c r="AQ360" s="1028">
        <v>0</v>
      </c>
      <c r="AR360" s="1028">
        <v>0</v>
      </c>
      <c r="AS360" s="1028">
        <v>0</v>
      </c>
      <c r="AT360" s="1028">
        <v>0</v>
      </c>
      <c r="AU360" s="1028">
        <v>0</v>
      </c>
      <c r="AV360" s="1028">
        <v>0</v>
      </c>
      <c r="AW360" s="1028">
        <v>0</v>
      </c>
      <c r="AX360" s="1028">
        <v>0</v>
      </c>
      <c r="AY360" s="1028">
        <v>0</v>
      </c>
      <c r="AZ360" s="1028">
        <v>0</v>
      </c>
      <c r="BA360" s="1028">
        <v>0</v>
      </c>
      <c r="BB360" s="1028">
        <v>0</v>
      </c>
      <c r="BC360" s="1028">
        <v>0</v>
      </c>
      <c r="BD360" s="1028">
        <v>0</v>
      </c>
      <c r="BE360" s="1028">
        <v>0</v>
      </c>
      <c r="BF360" s="1028">
        <v>0</v>
      </c>
      <c r="BG360" s="1028">
        <v>0</v>
      </c>
      <c r="BH360" s="1028">
        <v>0</v>
      </c>
      <c r="BI360" s="1028">
        <v>0</v>
      </c>
      <c r="BJ360" s="1028">
        <v>0</v>
      </c>
      <c r="BK360" s="924"/>
      <c r="BL360" s="924"/>
    </row>
    <row r="361" spans="1:64" x14ac:dyDescent="0.3">
      <c r="A361" s="947"/>
      <c r="B361" s="1015"/>
      <c r="C361" s="947"/>
      <c r="D361" s="947"/>
      <c r="E361" s="947"/>
      <c r="F361" s="947"/>
      <c r="G361" s="947"/>
      <c r="H361" s="947"/>
      <c r="I361" s="947"/>
      <c r="J361" s="947"/>
      <c r="K361" s="947"/>
      <c r="L361" s="947"/>
      <c r="M361" s="947"/>
      <c r="N361" s="947"/>
      <c r="O361" s="947"/>
      <c r="P361" s="947"/>
      <c r="Q361" s="947"/>
      <c r="R361" s="947"/>
      <c r="S361" s="947"/>
      <c r="T361" s="947"/>
      <c r="U361" s="947"/>
      <c r="V361" s="947"/>
      <c r="W361" s="947"/>
      <c r="X361" s="947"/>
      <c r="Y361" s="947"/>
      <c r="Z361" s="947"/>
      <c r="AA361" s="947"/>
      <c r="AB361" s="947"/>
      <c r="AC361" s="947"/>
      <c r="AD361" s="947"/>
      <c r="AE361" s="947"/>
      <c r="AF361" s="947"/>
      <c r="AG361" s="947"/>
      <c r="AH361" s="947"/>
      <c r="AI361" s="947"/>
      <c r="AJ361" s="947"/>
      <c r="AK361" s="947"/>
      <c r="AL361" s="947"/>
      <c r="AM361" s="947"/>
      <c r="AN361" s="947"/>
      <c r="AO361" s="947"/>
      <c r="AP361" s="947"/>
      <c r="AQ361" s="947"/>
      <c r="AR361" s="947"/>
      <c r="AS361" s="947"/>
      <c r="AT361" s="947"/>
      <c r="AU361" s="947"/>
      <c r="AV361" s="947"/>
      <c r="AW361" s="947"/>
      <c r="AX361" s="947"/>
      <c r="AY361" s="947"/>
      <c r="AZ361" s="947"/>
      <c r="BA361" s="947"/>
      <c r="BB361" s="947"/>
      <c r="BC361" s="947"/>
      <c r="BD361" s="947"/>
      <c r="BE361" s="947"/>
      <c r="BF361" s="947"/>
      <c r="BG361" s="947"/>
      <c r="BH361" s="947"/>
      <c r="BI361" s="947"/>
      <c r="BJ361" s="947"/>
      <c r="BK361" s="903"/>
      <c r="BL361" s="903"/>
    </row>
    <row r="362" spans="1:64" x14ac:dyDescent="0.3">
      <c r="A362" s="947"/>
      <c r="B362" s="1015"/>
      <c r="C362" s="947"/>
      <c r="D362" s="947"/>
      <c r="E362" s="947"/>
      <c r="F362" s="947"/>
      <c r="G362" s="947"/>
      <c r="H362" s="947"/>
      <c r="I362" s="947"/>
      <c r="J362" s="947"/>
      <c r="K362" s="947"/>
      <c r="L362" s="947"/>
      <c r="M362" s="947"/>
      <c r="N362" s="947"/>
      <c r="O362" s="947"/>
      <c r="P362" s="947"/>
      <c r="Q362" s="947"/>
      <c r="R362" s="947"/>
      <c r="S362" s="947"/>
      <c r="T362" s="947"/>
      <c r="U362" s="947"/>
      <c r="V362" s="947"/>
      <c r="W362" s="947"/>
      <c r="X362" s="947"/>
      <c r="Y362" s="947"/>
      <c r="Z362" s="947"/>
      <c r="AA362" s="947"/>
      <c r="AB362" s="947"/>
      <c r="AC362" s="947"/>
      <c r="AD362" s="947"/>
      <c r="AE362" s="947"/>
      <c r="AF362" s="947"/>
      <c r="AG362" s="947"/>
      <c r="AH362" s="947"/>
      <c r="AI362" s="947"/>
      <c r="AJ362" s="947"/>
      <c r="AK362" s="947"/>
      <c r="AL362" s="947"/>
      <c r="AM362" s="947"/>
      <c r="AN362" s="947"/>
      <c r="AO362" s="947"/>
      <c r="AP362" s="947"/>
      <c r="AQ362" s="947"/>
      <c r="AR362" s="947"/>
      <c r="AS362" s="947"/>
      <c r="AT362" s="947"/>
      <c r="AU362" s="947"/>
      <c r="AV362" s="947"/>
      <c r="AW362" s="947"/>
      <c r="AX362" s="947"/>
      <c r="AY362" s="947"/>
      <c r="AZ362" s="947"/>
      <c r="BA362" s="947"/>
      <c r="BB362" s="947"/>
      <c r="BC362" s="947"/>
      <c r="BD362" s="947"/>
      <c r="BE362" s="947"/>
      <c r="BF362" s="947"/>
      <c r="BG362" s="947"/>
      <c r="BH362" s="947"/>
      <c r="BI362" s="947"/>
      <c r="BJ362" s="947"/>
      <c r="BK362" s="903"/>
      <c r="BL362" s="903"/>
    </row>
    <row r="363" spans="1:64" x14ac:dyDescent="0.3">
      <c r="A363" s="949">
        <v>336</v>
      </c>
      <c r="B363" s="1017"/>
      <c r="C363" s="948">
        <v>336</v>
      </c>
      <c r="D363" s="998" t="s">
        <v>382</v>
      </c>
      <c r="E363" s="998"/>
      <c r="F363" s="965">
        <v>266749</v>
      </c>
      <c r="G363" s="966">
        <v>3991840</v>
      </c>
      <c r="H363" s="966">
        <v>3329025</v>
      </c>
      <c r="I363" s="966">
        <v>1230527</v>
      </c>
      <c r="J363" s="966">
        <v>6342546</v>
      </c>
      <c r="K363" s="966">
        <v>239057</v>
      </c>
      <c r="L363" s="967">
        <v>1245958</v>
      </c>
      <c r="M363" s="968">
        <v>1696229</v>
      </c>
      <c r="N363" s="968">
        <v>2121612</v>
      </c>
      <c r="O363" s="969">
        <v>1469678</v>
      </c>
      <c r="P363" s="969">
        <v>604488</v>
      </c>
      <c r="Q363" s="969">
        <v>3558950</v>
      </c>
      <c r="R363" s="969">
        <v>4452096</v>
      </c>
      <c r="S363" s="969">
        <v>577523</v>
      </c>
      <c r="T363" s="969">
        <v>0</v>
      </c>
      <c r="U363" s="969">
        <v>0</v>
      </c>
      <c r="V363" s="969">
        <v>20036945</v>
      </c>
      <c r="W363" s="969">
        <v>1206148</v>
      </c>
      <c r="X363" s="969">
        <v>0</v>
      </c>
      <c r="Y363" s="969">
        <v>4817295</v>
      </c>
      <c r="Z363" s="969">
        <v>6102460</v>
      </c>
      <c r="AA363" s="969">
        <v>671167</v>
      </c>
      <c r="AB363" s="969">
        <v>2953438</v>
      </c>
      <c r="AC363" s="969">
        <v>693207</v>
      </c>
      <c r="AD363" s="968">
        <v>0</v>
      </c>
      <c r="AE363" s="968">
        <v>8142302</v>
      </c>
      <c r="AF363" s="968">
        <v>1034220</v>
      </c>
      <c r="AG363" s="968">
        <v>8324350</v>
      </c>
      <c r="AH363" s="968">
        <v>3330326</v>
      </c>
      <c r="AI363" s="968">
        <v>852952</v>
      </c>
      <c r="AJ363" s="968">
        <v>11542308</v>
      </c>
      <c r="AK363" s="968">
        <v>5959184</v>
      </c>
      <c r="AL363" s="968">
        <v>6813129</v>
      </c>
      <c r="AM363" s="968">
        <v>0</v>
      </c>
      <c r="AN363" s="968">
        <v>3746581</v>
      </c>
      <c r="AO363" s="968">
        <v>5106303</v>
      </c>
      <c r="AP363" s="968">
        <v>2180951</v>
      </c>
      <c r="AQ363" s="968">
        <v>3196151</v>
      </c>
      <c r="AR363" s="968">
        <v>4623211</v>
      </c>
      <c r="AS363" s="968">
        <v>644938</v>
      </c>
      <c r="AT363" s="968">
        <v>0</v>
      </c>
      <c r="AU363" s="968">
        <v>1700276</v>
      </c>
      <c r="AV363" s="968">
        <v>0</v>
      </c>
      <c r="AW363" s="968">
        <v>25087960</v>
      </c>
      <c r="AX363" s="968">
        <v>0</v>
      </c>
      <c r="AY363" s="968">
        <v>82675693</v>
      </c>
      <c r="AZ363" s="968">
        <v>369050</v>
      </c>
      <c r="BA363" s="968">
        <v>973959</v>
      </c>
      <c r="BB363" s="968">
        <v>2167694</v>
      </c>
      <c r="BC363" s="968">
        <v>12934752</v>
      </c>
      <c r="BD363" s="968">
        <v>315301</v>
      </c>
      <c r="BE363" s="968">
        <v>971036</v>
      </c>
      <c r="BF363" s="968">
        <v>3384738</v>
      </c>
      <c r="BG363" s="968">
        <v>4159323</v>
      </c>
      <c r="BH363" s="968">
        <v>0</v>
      </c>
      <c r="BI363" s="968">
        <v>2019755</v>
      </c>
      <c r="BJ363" s="968">
        <v>403310</v>
      </c>
      <c r="BK363" s="913"/>
      <c r="BL363" s="913"/>
    </row>
    <row r="364" spans="1:64" x14ac:dyDescent="0.3">
      <c r="A364" s="949">
        <v>537</v>
      </c>
      <c r="B364" s="1017"/>
      <c r="C364" s="948">
        <v>537</v>
      </c>
      <c r="D364" s="998"/>
      <c r="E364" s="998"/>
      <c r="F364" s="965"/>
      <c r="G364" s="966"/>
      <c r="H364" s="966"/>
      <c r="I364" s="966"/>
      <c r="J364" s="966"/>
      <c r="K364" s="966"/>
      <c r="L364" s="967"/>
      <c r="M364" s="968"/>
      <c r="N364" s="968"/>
      <c r="O364" s="969"/>
      <c r="P364" s="969"/>
      <c r="Q364" s="969"/>
      <c r="R364" s="969"/>
      <c r="S364" s="969"/>
      <c r="T364" s="969"/>
      <c r="U364" s="969"/>
      <c r="V364" s="969"/>
      <c r="W364" s="969"/>
      <c r="X364" s="969"/>
      <c r="Y364" s="969"/>
      <c r="Z364" s="969"/>
      <c r="AA364" s="969"/>
      <c r="AB364" s="969"/>
      <c r="AC364" s="969"/>
      <c r="AD364" s="968"/>
      <c r="AE364" s="968"/>
      <c r="AF364" s="968"/>
      <c r="AG364" s="968"/>
      <c r="AH364" s="968"/>
      <c r="AI364" s="968"/>
      <c r="AJ364" s="968"/>
      <c r="AK364" s="968"/>
      <c r="AL364" s="968"/>
      <c r="AM364" s="968"/>
      <c r="AN364" s="968"/>
      <c r="AO364" s="968"/>
      <c r="AP364" s="968"/>
      <c r="AQ364" s="968"/>
      <c r="AR364" s="968"/>
      <c r="AS364" s="968"/>
      <c r="AT364" s="968"/>
      <c r="AU364" s="968"/>
      <c r="AV364" s="968"/>
      <c r="AW364" s="968"/>
      <c r="AX364" s="968"/>
      <c r="AY364" s="968"/>
      <c r="AZ364" s="968"/>
      <c r="BA364" s="968"/>
      <c r="BB364" s="968"/>
      <c r="BC364" s="968"/>
      <c r="BD364" s="968"/>
      <c r="BE364" s="968"/>
      <c r="BF364" s="968"/>
      <c r="BG364" s="968"/>
      <c r="BH364" s="968"/>
      <c r="BI364" s="968"/>
      <c r="BJ364" s="968"/>
      <c r="BK364" s="913"/>
      <c r="BL364" s="913"/>
    </row>
    <row r="365" spans="1:64" x14ac:dyDescent="0.3">
      <c r="A365" s="949">
        <v>538</v>
      </c>
      <c r="B365" s="1017"/>
      <c r="C365" s="948">
        <v>538</v>
      </c>
      <c r="D365" s="998"/>
      <c r="E365" s="998"/>
      <c r="F365" s="965"/>
      <c r="G365" s="966"/>
      <c r="H365" s="966"/>
      <c r="I365" s="966"/>
      <c r="J365" s="966"/>
      <c r="K365" s="966"/>
      <c r="L365" s="967"/>
      <c r="M365" s="968"/>
      <c r="N365" s="968"/>
      <c r="O365" s="969"/>
      <c r="P365" s="969"/>
      <c r="Q365" s="969"/>
      <c r="R365" s="969"/>
      <c r="S365" s="969"/>
      <c r="T365" s="969"/>
      <c r="U365" s="969"/>
      <c r="V365" s="969"/>
      <c r="W365" s="969"/>
      <c r="X365" s="969"/>
      <c r="Y365" s="969"/>
      <c r="Z365" s="969"/>
      <c r="AA365" s="969"/>
      <c r="AB365" s="969"/>
      <c r="AC365" s="969"/>
      <c r="AD365" s="968"/>
      <c r="AE365" s="968"/>
      <c r="AF365" s="968"/>
      <c r="AG365" s="968"/>
      <c r="AH365" s="968"/>
      <c r="AI365" s="968"/>
      <c r="AJ365" s="968"/>
      <c r="AK365" s="968"/>
      <c r="AL365" s="968"/>
      <c r="AM365" s="968"/>
      <c r="AN365" s="968"/>
      <c r="AO365" s="968"/>
      <c r="AP365" s="968"/>
      <c r="AQ365" s="968"/>
      <c r="AR365" s="968"/>
      <c r="AS365" s="968"/>
      <c r="AT365" s="968"/>
      <c r="AU365" s="968"/>
      <c r="AV365" s="968"/>
      <c r="AW365" s="968"/>
      <c r="AX365" s="968"/>
      <c r="AY365" s="968"/>
      <c r="AZ365" s="968"/>
      <c r="BA365" s="968"/>
      <c r="BB365" s="968"/>
      <c r="BC365" s="968"/>
      <c r="BD365" s="968"/>
      <c r="BE365" s="968"/>
      <c r="BF365" s="968"/>
      <c r="BG365" s="968"/>
      <c r="BH365" s="968"/>
      <c r="BI365" s="968"/>
      <c r="BJ365" s="968"/>
      <c r="BK365" s="913"/>
      <c r="BL365" s="913"/>
    </row>
    <row r="366" spans="1:64" x14ac:dyDescent="0.3">
      <c r="A366" s="949">
        <v>577</v>
      </c>
      <c r="B366" s="1017">
        <v>577</v>
      </c>
      <c r="C366" s="990">
        <v>577</v>
      </c>
      <c r="D366" s="990" t="s">
        <v>383</v>
      </c>
      <c r="E366" s="990"/>
      <c r="F366" s="982">
        <v>0</v>
      </c>
      <c r="G366" s="983">
        <v>0</v>
      </c>
      <c r="H366" s="983">
        <v>0</v>
      </c>
      <c r="I366" s="983">
        <v>0</v>
      </c>
      <c r="J366" s="983">
        <v>0</v>
      </c>
      <c r="K366" s="983">
        <v>0</v>
      </c>
      <c r="L366" s="984">
        <v>0</v>
      </c>
      <c r="M366" s="985">
        <v>0</v>
      </c>
      <c r="N366" s="985">
        <v>0</v>
      </c>
      <c r="O366" s="986">
        <v>0</v>
      </c>
      <c r="P366" s="986">
        <v>0</v>
      </c>
      <c r="Q366" s="986">
        <v>0</v>
      </c>
      <c r="R366" s="986">
        <v>0</v>
      </c>
      <c r="S366" s="986">
        <v>0</v>
      </c>
      <c r="T366" s="986">
        <v>1</v>
      </c>
      <c r="U366" s="986">
        <v>0</v>
      </c>
      <c r="V366" s="986">
        <v>0</v>
      </c>
      <c r="W366" s="986">
        <v>0</v>
      </c>
      <c r="X366" s="986">
        <v>0</v>
      </c>
      <c r="Y366" s="986">
        <v>0</v>
      </c>
      <c r="Z366" s="986">
        <v>0</v>
      </c>
      <c r="AA366" s="986">
        <v>0</v>
      </c>
      <c r="AB366" s="986">
        <v>0</v>
      </c>
      <c r="AC366" s="986">
        <v>0</v>
      </c>
      <c r="AD366" s="985">
        <v>0</v>
      </c>
      <c r="AE366" s="985">
        <v>0</v>
      </c>
      <c r="AF366" s="985">
        <v>0</v>
      </c>
      <c r="AG366" s="985">
        <v>0</v>
      </c>
      <c r="AH366" s="985">
        <v>0</v>
      </c>
      <c r="AI366" s="985">
        <v>0</v>
      </c>
      <c r="AJ366" s="985">
        <v>0</v>
      </c>
      <c r="AK366" s="985">
        <v>0</v>
      </c>
      <c r="AL366" s="985">
        <v>0</v>
      </c>
      <c r="AM366" s="985">
        <v>0</v>
      </c>
      <c r="AN366" s="985">
        <v>0</v>
      </c>
      <c r="AO366" s="985">
        <v>0</v>
      </c>
      <c r="AP366" s="985">
        <v>0</v>
      </c>
      <c r="AQ366" s="985">
        <v>0</v>
      </c>
      <c r="AR366" s="985">
        <v>0</v>
      </c>
      <c r="AS366" s="985">
        <v>0</v>
      </c>
      <c r="AT366" s="985">
        <v>0</v>
      </c>
      <c r="AU366" s="985">
        <v>0</v>
      </c>
      <c r="AV366" s="985">
        <v>0</v>
      </c>
      <c r="AW366" s="985">
        <v>0</v>
      </c>
      <c r="AX366" s="985">
        <v>0</v>
      </c>
      <c r="AY366" s="985">
        <v>0</v>
      </c>
      <c r="AZ366" s="985">
        <v>0</v>
      </c>
      <c r="BA366" s="985">
        <v>0</v>
      </c>
      <c r="BB366" s="985">
        <v>0</v>
      </c>
      <c r="BC366" s="985">
        <v>0</v>
      </c>
      <c r="BD366" s="985">
        <v>0</v>
      </c>
      <c r="BE366" s="985">
        <v>0</v>
      </c>
      <c r="BF366" s="985">
        <v>0</v>
      </c>
      <c r="BG366" s="985">
        <v>0</v>
      </c>
      <c r="BH366" s="985">
        <v>0</v>
      </c>
      <c r="BI366" s="985">
        <v>0</v>
      </c>
      <c r="BJ366" s="985">
        <v>0</v>
      </c>
      <c r="BK366" s="913"/>
      <c r="BL366" s="913"/>
    </row>
    <row r="367" spans="1:64" x14ac:dyDescent="0.3">
      <c r="A367" s="970">
        <v>554</v>
      </c>
      <c r="B367" s="1017"/>
      <c r="C367" s="978">
        <v>554</v>
      </c>
      <c r="D367" s="1030" t="s">
        <v>355</v>
      </c>
      <c r="E367" s="981"/>
      <c r="F367" s="982">
        <v>8157175</v>
      </c>
      <c r="G367" s="983">
        <v>9425900</v>
      </c>
      <c r="H367" s="983">
        <v>13421072</v>
      </c>
      <c r="I367" s="983">
        <v>4918807</v>
      </c>
      <c r="J367" s="983">
        <v>10122450</v>
      </c>
      <c r="K367" s="983">
        <v>5944500</v>
      </c>
      <c r="L367" s="984">
        <v>3153033</v>
      </c>
      <c r="M367" s="985">
        <v>4407047</v>
      </c>
      <c r="N367" s="985">
        <v>9466284</v>
      </c>
      <c r="O367" s="986">
        <v>2154754</v>
      </c>
      <c r="P367" s="986">
        <v>6814166</v>
      </c>
      <c r="Q367" s="986">
        <v>8956595</v>
      </c>
      <c r="R367" s="986">
        <v>4104641</v>
      </c>
      <c r="S367" s="986">
        <v>2709074</v>
      </c>
      <c r="T367" s="986">
        <v>21906</v>
      </c>
      <c r="U367" s="986">
        <v>19740843</v>
      </c>
      <c r="V367" s="986">
        <v>28333267</v>
      </c>
      <c r="W367" s="986">
        <v>3293669</v>
      </c>
      <c r="X367" s="986">
        <v>4486786</v>
      </c>
      <c r="Y367" s="986">
        <v>32025069</v>
      </c>
      <c r="Z367" s="986">
        <v>4835749</v>
      </c>
      <c r="AA367" s="986">
        <v>1965306</v>
      </c>
      <c r="AB367" s="986">
        <v>12190901</v>
      </c>
      <c r="AC367" s="986">
        <v>1938392</v>
      </c>
      <c r="AD367" s="985">
        <v>0</v>
      </c>
      <c r="AE367" s="985">
        <v>34255653</v>
      </c>
      <c r="AF367" s="985">
        <v>2758744</v>
      </c>
      <c r="AG367" s="985">
        <v>15188781</v>
      </c>
      <c r="AH367" s="985">
        <v>11435285</v>
      </c>
      <c r="AI367" s="985">
        <v>3021263</v>
      </c>
      <c r="AJ367" s="985">
        <v>34977682</v>
      </c>
      <c r="AK367" s="985">
        <v>15128873</v>
      </c>
      <c r="AL367" s="985">
        <v>25317617</v>
      </c>
      <c r="AM367" s="985">
        <v>13813604</v>
      </c>
      <c r="AN367" s="985">
        <v>11985611</v>
      </c>
      <c r="AO367" s="985">
        <v>11599188</v>
      </c>
      <c r="AP367" s="985">
        <v>9348316</v>
      </c>
      <c r="AQ367" s="985">
        <v>6467125</v>
      </c>
      <c r="AR367" s="985">
        <v>11073712</v>
      </c>
      <c r="AS367" s="985">
        <v>6719083</v>
      </c>
      <c r="AT367" s="985">
        <v>11276191</v>
      </c>
      <c r="AU367" s="985">
        <v>3755521</v>
      </c>
      <c r="AV367" s="985">
        <v>1057263</v>
      </c>
      <c r="AW367" s="985">
        <v>0</v>
      </c>
      <c r="AX367" s="985">
        <v>9185097</v>
      </c>
      <c r="AY367" s="985">
        <v>117930985</v>
      </c>
      <c r="AZ367" s="985">
        <v>3516281</v>
      </c>
      <c r="BA367" s="985">
        <v>2612958</v>
      </c>
      <c r="BB367" s="985">
        <v>4170000</v>
      </c>
      <c r="BC367" s="985">
        <v>26104817</v>
      </c>
      <c r="BD367" s="985">
        <v>1887077</v>
      </c>
      <c r="BE367" s="985">
        <v>4115065</v>
      </c>
      <c r="BF367" s="985">
        <v>11775709</v>
      </c>
      <c r="BG367" s="985">
        <v>14315987</v>
      </c>
      <c r="BH367" s="985">
        <v>60088730</v>
      </c>
      <c r="BI367" s="985">
        <v>7283503</v>
      </c>
      <c r="BJ367" s="985">
        <v>2953806</v>
      </c>
      <c r="BK367" s="913"/>
      <c r="BL367" s="913"/>
    </row>
    <row r="368" spans="1:64" x14ac:dyDescent="0.3">
      <c r="A368" s="970">
        <v>555</v>
      </c>
      <c r="B368" s="1017">
        <v>555</v>
      </c>
      <c r="C368" s="978">
        <v>555</v>
      </c>
      <c r="D368" s="1030" t="s">
        <v>356</v>
      </c>
      <c r="E368" s="981"/>
      <c r="F368" s="982">
        <v>3124507</v>
      </c>
      <c r="G368" s="983">
        <v>4482238</v>
      </c>
      <c r="H368" s="983">
        <v>5518675</v>
      </c>
      <c r="I368" s="983">
        <v>1161122</v>
      </c>
      <c r="J368" s="983">
        <v>2271258</v>
      </c>
      <c r="K368" s="983">
        <v>2921302</v>
      </c>
      <c r="L368" s="984">
        <v>781305</v>
      </c>
      <c r="M368" s="985">
        <v>1990946</v>
      </c>
      <c r="N368" s="985">
        <v>2201206</v>
      </c>
      <c r="O368" s="986">
        <v>441096</v>
      </c>
      <c r="P368" s="986">
        <v>2992664</v>
      </c>
      <c r="Q368" s="986">
        <v>2558582</v>
      </c>
      <c r="R368" s="986">
        <v>1678669</v>
      </c>
      <c r="S368" s="986">
        <v>933804</v>
      </c>
      <c r="T368" s="986">
        <v>0</v>
      </c>
      <c r="U368" s="986">
        <v>13729446</v>
      </c>
      <c r="V368" s="986">
        <v>10948950</v>
      </c>
      <c r="W368" s="986">
        <v>1310601</v>
      </c>
      <c r="X368" s="986">
        <v>1904831</v>
      </c>
      <c r="Y368" s="986">
        <v>12523805</v>
      </c>
      <c r="Z368" s="986">
        <v>1404728</v>
      </c>
      <c r="AA368" s="986">
        <v>430195</v>
      </c>
      <c r="AB368" s="986">
        <v>3734147</v>
      </c>
      <c r="AC368" s="986">
        <v>1366136</v>
      </c>
      <c r="AD368" s="985">
        <v>0</v>
      </c>
      <c r="AE368" s="985">
        <v>10950433</v>
      </c>
      <c r="AF368" s="985">
        <v>1060601</v>
      </c>
      <c r="AG368" s="985">
        <v>5943521</v>
      </c>
      <c r="AH368" s="985">
        <v>5106163</v>
      </c>
      <c r="AI368" s="985">
        <v>1106730</v>
      </c>
      <c r="AJ368" s="985">
        <v>16653453</v>
      </c>
      <c r="AK368" s="985">
        <v>5253751</v>
      </c>
      <c r="AL368" s="985">
        <v>11718709</v>
      </c>
      <c r="AM368" s="985">
        <v>4318472</v>
      </c>
      <c r="AN368" s="985">
        <v>6162553</v>
      </c>
      <c r="AO368" s="985">
        <v>4534539</v>
      </c>
      <c r="AP368" s="985">
        <v>5808176</v>
      </c>
      <c r="AQ368" s="985">
        <v>2895467</v>
      </c>
      <c r="AR368" s="985">
        <v>2441526</v>
      </c>
      <c r="AS368" s="985">
        <v>3336662</v>
      </c>
      <c r="AT368" s="985">
        <v>6009961</v>
      </c>
      <c r="AU368" s="985">
        <v>812987</v>
      </c>
      <c r="AV368" s="985">
        <v>539102</v>
      </c>
      <c r="AW368" s="985">
        <v>0</v>
      </c>
      <c r="AX368" s="985">
        <v>4265234</v>
      </c>
      <c r="AY368" s="985">
        <v>49131824</v>
      </c>
      <c r="AZ368" s="985">
        <v>1670998</v>
      </c>
      <c r="BA368" s="985">
        <v>806254</v>
      </c>
      <c r="BB368" s="985">
        <v>1584052</v>
      </c>
      <c r="BC368" s="985">
        <v>9082743</v>
      </c>
      <c r="BD368" s="985">
        <v>643593</v>
      </c>
      <c r="BE368" s="985">
        <v>1993948</v>
      </c>
      <c r="BF368" s="985">
        <v>2851478</v>
      </c>
      <c r="BG368" s="985">
        <v>7239258</v>
      </c>
      <c r="BH368" s="985">
        <v>42880709</v>
      </c>
      <c r="BI368" s="985">
        <v>4902323</v>
      </c>
      <c r="BJ368" s="985">
        <v>787879</v>
      </c>
      <c r="BK368" s="913"/>
      <c r="BL368" s="913"/>
    </row>
    <row r="369" spans="1:64" x14ac:dyDescent="0.3">
      <c r="A369" s="970">
        <v>556</v>
      </c>
      <c r="B369" s="1017">
        <v>556</v>
      </c>
      <c r="C369" s="978">
        <v>556</v>
      </c>
      <c r="D369" s="1030" t="s">
        <v>357</v>
      </c>
      <c r="E369" s="981"/>
      <c r="F369" s="982">
        <v>34491347</v>
      </c>
      <c r="G369" s="983">
        <v>64828938</v>
      </c>
      <c r="H369" s="983">
        <v>59829139</v>
      </c>
      <c r="I369" s="983">
        <v>21329428</v>
      </c>
      <c r="J369" s="983">
        <v>70337902</v>
      </c>
      <c r="K369" s="983">
        <v>31349873</v>
      </c>
      <c r="L369" s="984">
        <v>19191877</v>
      </c>
      <c r="M369" s="985">
        <v>25366652</v>
      </c>
      <c r="N369" s="985">
        <v>52993883</v>
      </c>
      <c r="O369" s="986">
        <v>16665273</v>
      </c>
      <c r="P369" s="986">
        <v>29345692</v>
      </c>
      <c r="Q369" s="986">
        <v>81841221</v>
      </c>
      <c r="R369" s="986">
        <v>35896386</v>
      </c>
      <c r="S369" s="986">
        <v>12015509</v>
      </c>
      <c r="T369" s="986">
        <v>1718062</v>
      </c>
      <c r="U369" s="986">
        <v>100600729</v>
      </c>
      <c r="V369" s="986">
        <v>169962862</v>
      </c>
      <c r="W369" s="986">
        <v>19989785</v>
      </c>
      <c r="X369" s="986">
        <v>15964541</v>
      </c>
      <c r="Y369" s="986">
        <v>169637768</v>
      </c>
      <c r="Z369" s="986">
        <v>48842052</v>
      </c>
      <c r="AA369" s="986">
        <v>12324274</v>
      </c>
      <c r="AB369" s="986">
        <v>62995887</v>
      </c>
      <c r="AC369" s="986">
        <v>13905679</v>
      </c>
      <c r="AD369" s="985">
        <v>0</v>
      </c>
      <c r="AE369" s="985">
        <v>162487410</v>
      </c>
      <c r="AF369" s="985">
        <v>17400601</v>
      </c>
      <c r="AG369" s="985">
        <v>107953366</v>
      </c>
      <c r="AH369" s="985">
        <v>52259396</v>
      </c>
      <c r="AI369" s="985">
        <v>19953505</v>
      </c>
      <c r="AJ369" s="985">
        <v>160410935</v>
      </c>
      <c r="AK369" s="985">
        <v>80916189</v>
      </c>
      <c r="AL369" s="985">
        <v>124896933</v>
      </c>
      <c r="AM369" s="985">
        <v>56645394</v>
      </c>
      <c r="AN369" s="985">
        <v>57858210</v>
      </c>
      <c r="AO369" s="985">
        <v>44293202</v>
      </c>
      <c r="AP369" s="985">
        <v>57662991</v>
      </c>
      <c r="AQ369" s="985">
        <v>41721169</v>
      </c>
      <c r="AR369" s="985">
        <v>53487587</v>
      </c>
      <c r="AS369" s="985">
        <v>18622533</v>
      </c>
      <c r="AT369" s="985">
        <v>16326882</v>
      </c>
      <c r="AU369" s="985">
        <v>22766789</v>
      </c>
      <c r="AV369" s="985">
        <v>7687980</v>
      </c>
      <c r="AW369" s="985">
        <v>0</v>
      </c>
      <c r="AX369" s="985">
        <v>46547107</v>
      </c>
      <c r="AY369" s="985">
        <v>1002743254</v>
      </c>
      <c r="AZ369" s="985">
        <v>17277404</v>
      </c>
      <c r="BA369" s="985">
        <v>13071371</v>
      </c>
      <c r="BB369" s="985">
        <v>31907473</v>
      </c>
      <c r="BC369" s="985">
        <v>131063410</v>
      </c>
      <c r="BD369" s="985">
        <v>7877558</v>
      </c>
      <c r="BE369" s="985">
        <v>16995213</v>
      </c>
      <c r="BF369" s="985">
        <v>64720163</v>
      </c>
      <c r="BG369" s="985">
        <v>72018368</v>
      </c>
      <c r="BH369" s="985">
        <v>344748211</v>
      </c>
      <c r="BI369" s="985">
        <v>37918759</v>
      </c>
      <c r="BJ369" s="985">
        <v>17824950</v>
      </c>
      <c r="BK369" s="913"/>
      <c r="BL369" s="913"/>
    </row>
    <row r="370" spans="1:64" x14ac:dyDescent="0.3">
      <c r="A370" s="970">
        <v>557</v>
      </c>
      <c r="B370" s="1017">
        <v>557</v>
      </c>
      <c r="C370" s="978">
        <v>557</v>
      </c>
      <c r="D370" s="1030" t="s">
        <v>358</v>
      </c>
      <c r="E370" s="981"/>
      <c r="F370" s="982">
        <v>32432553</v>
      </c>
      <c r="G370" s="983">
        <v>60323766</v>
      </c>
      <c r="H370" s="983">
        <v>58363019</v>
      </c>
      <c r="I370" s="983">
        <v>19562142</v>
      </c>
      <c r="J370" s="983">
        <v>65562099</v>
      </c>
      <c r="K370" s="983">
        <v>28943572</v>
      </c>
      <c r="L370" s="984">
        <v>17152456</v>
      </c>
      <c r="M370" s="985">
        <v>25192581</v>
      </c>
      <c r="N370" s="985">
        <v>41404632</v>
      </c>
      <c r="O370" s="986">
        <v>15623937</v>
      </c>
      <c r="P370" s="986">
        <v>25753332</v>
      </c>
      <c r="Q370" s="986">
        <v>75034489</v>
      </c>
      <c r="R370" s="986">
        <v>33180284</v>
      </c>
      <c r="S370" s="986">
        <v>10567124</v>
      </c>
      <c r="T370" s="986">
        <v>1718062</v>
      </c>
      <c r="U370" s="986">
        <v>94035514</v>
      </c>
      <c r="V370" s="986">
        <v>153475935</v>
      </c>
      <c r="W370" s="986">
        <v>18102226</v>
      </c>
      <c r="X370" s="986">
        <v>14502845</v>
      </c>
      <c r="Y370" s="986">
        <v>161225382</v>
      </c>
      <c r="Z370" s="986">
        <v>45031301</v>
      </c>
      <c r="AA370" s="986">
        <v>11991061</v>
      </c>
      <c r="AB370" s="986">
        <v>60778674</v>
      </c>
      <c r="AC370" s="986">
        <v>13203922</v>
      </c>
      <c r="AD370" s="985">
        <v>0</v>
      </c>
      <c r="AE370" s="985">
        <v>154037312</v>
      </c>
      <c r="AF370" s="985">
        <v>16579866</v>
      </c>
      <c r="AG370" s="985">
        <v>99787491</v>
      </c>
      <c r="AH370" s="985">
        <v>47689064</v>
      </c>
      <c r="AI370" s="985">
        <v>17985867</v>
      </c>
      <c r="AJ370" s="985">
        <v>152870189</v>
      </c>
      <c r="AK370" s="985">
        <v>75594213</v>
      </c>
      <c r="AL370" s="985">
        <v>124622757</v>
      </c>
      <c r="AM370" s="985">
        <v>53031122</v>
      </c>
      <c r="AN370" s="985">
        <v>56235974</v>
      </c>
      <c r="AO370" s="985">
        <v>39898205</v>
      </c>
      <c r="AP370" s="985">
        <v>53838234</v>
      </c>
      <c r="AQ370" s="985">
        <v>37810640</v>
      </c>
      <c r="AR370" s="985">
        <v>49614373</v>
      </c>
      <c r="AS370" s="985">
        <v>17118368</v>
      </c>
      <c r="AT370" s="985">
        <v>15002975</v>
      </c>
      <c r="AU370" s="985">
        <v>22116442</v>
      </c>
      <c r="AV370" s="985">
        <v>6887011</v>
      </c>
      <c r="AW370" s="985">
        <v>0</v>
      </c>
      <c r="AX370" s="985">
        <v>43483993</v>
      </c>
      <c r="AY370" s="985">
        <v>946734762</v>
      </c>
      <c r="AZ370" s="985">
        <v>16216736</v>
      </c>
      <c r="BA370" s="985">
        <v>12085834</v>
      </c>
      <c r="BB370" s="985">
        <v>29315196</v>
      </c>
      <c r="BC370" s="985">
        <v>122965036</v>
      </c>
      <c r="BD370" s="985">
        <v>7365363</v>
      </c>
      <c r="BE370" s="985">
        <v>15471477</v>
      </c>
      <c r="BF370" s="985">
        <v>59895374</v>
      </c>
      <c r="BG370" s="985">
        <v>66590697</v>
      </c>
      <c r="BH370" s="985">
        <v>321963776</v>
      </c>
      <c r="BI370" s="985">
        <v>34356147</v>
      </c>
      <c r="BJ370" s="985">
        <v>15707131</v>
      </c>
      <c r="BK370" s="913"/>
      <c r="BL370" s="913"/>
    </row>
    <row r="371" spans="1:64" ht="43.2" x14ac:dyDescent="0.3">
      <c r="A371" s="949">
        <v>606</v>
      </c>
      <c r="B371" s="1017">
        <v>606</v>
      </c>
      <c r="C371" s="1006">
        <v>606</v>
      </c>
      <c r="D371" s="1005" t="s">
        <v>431</v>
      </c>
      <c r="E371" s="1005"/>
      <c r="F371" s="958">
        <v>1</v>
      </c>
      <c r="G371" s="959">
        <v>1</v>
      </c>
      <c r="H371" s="959">
        <v>1</v>
      </c>
      <c r="I371" s="959">
        <v>1</v>
      </c>
      <c r="J371" s="959">
        <v>1</v>
      </c>
      <c r="K371" s="959">
        <v>1</v>
      </c>
      <c r="L371" s="960">
        <v>1</v>
      </c>
      <c r="M371" s="961">
        <v>1</v>
      </c>
      <c r="N371" s="961">
        <v>1</v>
      </c>
      <c r="O371" s="962">
        <v>1</v>
      </c>
      <c r="P371" s="962">
        <v>1</v>
      </c>
      <c r="Q371" s="962">
        <v>1</v>
      </c>
      <c r="R371" s="962">
        <v>1</v>
      </c>
      <c r="S371" s="962">
        <v>1</v>
      </c>
      <c r="T371" s="962">
        <v>1</v>
      </c>
      <c r="U371" s="962">
        <v>1</v>
      </c>
      <c r="V371" s="962">
        <v>1</v>
      </c>
      <c r="W371" s="962">
        <v>1</v>
      </c>
      <c r="X371" s="962">
        <v>1</v>
      </c>
      <c r="Y371" s="962">
        <v>1</v>
      </c>
      <c r="Z371" s="962">
        <v>1</v>
      </c>
      <c r="AA371" s="962">
        <v>1</v>
      </c>
      <c r="AB371" s="962">
        <v>1</v>
      </c>
      <c r="AC371" s="962">
        <v>1</v>
      </c>
      <c r="AD371" s="961">
        <v>0</v>
      </c>
      <c r="AE371" s="961">
        <v>1</v>
      </c>
      <c r="AF371" s="961">
        <v>1</v>
      </c>
      <c r="AG371" s="961">
        <v>1</v>
      </c>
      <c r="AH371" s="961">
        <v>1</v>
      </c>
      <c r="AI371" s="961">
        <v>1</v>
      </c>
      <c r="AJ371" s="961">
        <v>1</v>
      </c>
      <c r="AK371" s="961">
        <v>1</v>
      </c>
      <c r="AL371" s="961">
        <v>1</v>
      </c>
      <c r="AM371" s="961">
        <v>1</v>
      </c>
      <c r="AN371" s="961">
        <v>1</v>
      </c>
      <c r="AO371" s="961">
        <v>1</v>
      </c>
      <c r="AP371" s="961">
        <v>1</v>
      </c>
      <c r="AQ371" s="961">
        <v>1</v>
      </c>
      <c r="AR371" s="961">
        <v>1</v>
      </c>
      <c r="AS371" s="961">
        <v>1</v>
      </c>
      <c r="AT371" s="961">
        <v>1</v>
      </c>
      <c r="AU371" s="961">
        <v>1</v>
      </c>
      <c r="AV371" s="961">
        <v>1</v>
      </c>
      <c r="AW371" s="961">
        <v>0</v>
      </c>
      <c r="AX371" s="961">
        <v>1</v>
      </c>
      <c r="AY371" s="961">
        <v>1</v>
      </c>
      <c r="AZ371" s="961">
        <v>1</v>
      </c>
      <c r="BA371" s="961">
        <v>1</v>
      </c>
      <c r="BB371" s="961">
        <v>1</v>
      </c>
      <c r="BC371" s="961">
        <v>1</v>
      </c>
      <c r="BD371" s="961">
        <v>1</v>
      </c>
      <c r="BE371" s="961">
        <v>1</v>
      </c>
      <c r="BF371" s="961">
        <v>1</v>
      </c>
      <c r="BG371" s="961">
        <v>1</v>
      </c>
      <c r="BH371" s="961">
        <v>1</v>
      </c>
      <c r="BI371" s="961">
        <v>1</v>
      </c>
      <c r="BJ371" s="961">
        <v>1</v>
      </c>
      <c r="BK371" s="915"/>
      <c r="BL371" s="915"/>
    </row>
    <row r="372" spans="1:64" x14ac:dyDescent="0.3">
      <c r="A372" s="949">
        <v>620</v>
      </c>
      <c r="B372" s="1017"/>
      <c r="C372" s="1003">
        <v>620</v>
      </c>
      <c r="D372" s="1004"/>
      <c r="E372" s="1004"/>
      <c r="F372" s="958"/>
      <c r="G372" s="959"/>
      <c r="H372" s="959"/>
      <c r="I372" s="959"/>
      <c r="J372" s="959"/>
      <c r="K372" s="959"/>
      <c r="L372" s="960"/>
      <c r="M372" s="961"/>
      <c r="N372" s="961"/>
      <c r="O372" s="962"/>
      <c r="P372" s="962"/>
      <c r="Q372" s="962"/>
      <c r="R372" s="962"/>
      <c r="S372" s="962"/>
      <c r="T372" s="962"/>
      <c r="U372" s="962"/>
      <c r="V372" s="962"/>
      <c r="W372" s="962"/>
      <c r="X372" s="962"/>
      <c r="Y372" s="962"/>
      <c r="Z372" s="962"/>
      <c r="AA372" s="962"/>
      <c r="AB372" s="962"/>
      <c r="AC372" s="962"/>
      <c r="AD372" s="961"/>
      <c r="AE372" s="961"/>
      <c r="AF372" s="961"/>
      <c r="AG372" s="961"/>
      <c r="AH372" s="961"/>
      <c r="AI372" s="961"/>
      <c r="AJ372" s="961"/>
      <c r="AK372" s="961"/>
      <c r="AL372" s="961"/>
      <c r="AM372" s="961"/>
      <c r="AN372" s="961"/>
      <c r="AO372" s="961"/>
      <c r="AP372" s="961"/>
      <c r="AQ372" s="961"/>
      <c r="AR372" s="961"/>
      <c r="AS372" s="961"/>
      <c r="AT372" s="961"/>
      <c r="AU372" s="961"/>
      <c r="AV372" s="961"/>
      <c r="AW372" s="961"/>
      <c r="AX372" s="961"/>
      <c r="AY372" s="961"/>
      <c r="AZ372" s="961"/>
      <c r="BA372" s="961"/>
      <c r="BB372" s="961"/>
      <c r="BC372" s="961"/>
      <c r="BD372" s="961"/>
      <c r="BE372" s="961"/>
      <c r="BF372" s="961"/>
      <c r="BG372" s="961"/>
      <c r="BH372" s="961"/>
      <c r="BI372" s="961"/>
      <c r="BJ372" s="961"/>
      <c r="BK372" s="917"/>
      <c r="BL372" s="917"/>
    </row>
    <row r="373" spans="1:64" x14ac:dyDescent="0.3">
      <c r="A373" s="947">
        <v>662</v>
      </c>
      <c r="B373" s="1017">
        <v>662</v>
      </c>
      <c r="C373" s="947">
        <v>662</v>
      </c>
      <c r="D373" s="947" t="s">
        <v>534</v>
      </c>
      <c r="E373" s="947"/>
      <c r="F373" s="958">
        <v>0</v>
      </c>
      <c r="G373" s="959">
        <v>169915</v>
      </c>
      <c r="H373" s="959">
        <v>100071</v>
      </c>
      <c r="I373" s="959">
        <v>161300</v>
      </c>
      <c r="J373" s="959">
        <v>100389</v>
      </c>
      <c r="K373" s="959">
        <v>132381</v>
      </c>
      <c r="L373" s="960">
        <v>75273</v>
      </c>
      <c r="M373" s="961">
        <v>0</v>
      </c>
      <c r="N373" s="961">
        <v>371120</v>
      </c>
      <c r="O373" s="962">
        <v>0</v>
      </c>
      <c r="P373" s="962">
        <v>123340</v>
      </c>
      <c r="Q373" s="962">
        <v>260390</v>
      </c>
      <c r="R373" s="962">
        <v>191617</v>
      </c>
      <c r="S373" s="962">
        <v>0</v>
      </c>
      <c r="T373" s="962">
        <v>0</v>
      </c>
      <c r="U373" s="962">
        <v>934913</v>
      </c>
      <c r="V373" s="962">
        <v>410664</v>
      </c>
      <c r="W373" s="962">
        <v>160289</v>
      </c>
      <c r="X373" s="962">
        <v>129894</v>
      </c>
      <c r="Y373" s="962">
        <v>756736</v>
      </c>
      <c r="Z373" s="962">
        <v>75136</v>
      </c>
      <c r="AA373" s="962">
        <v>0</v>
      </c>
      <c r="AB373" s="962">
        <v>0</v>
      </c>
      <c r="AC373" s="962">
        <v>0</v>
      </c>
      <c r="AD373" s="961">
        <v>0</v>
      </c>
      <c r="AE373" s="961">
        <v>548401</v>
      </c>
      <c r="AF373" s="961">
        <v>34514</v>
      </c>
      <c r="AG373" s="961">
        <v>0</v>
      </c>
      <c r="AH373" s="961">
        <v>134608</v>
      </c>
      <c r="AI373" s="961">
        <v>33269</v>
      </c>
      <c r="AJ373" s="961">
        <v>0</v>
      </c>
      <c r="AK373" s="961">
        <v>87862</v>
      </c>
      <c r="AL373" s="961">
        <v>360890</v>
      </c>
      <c r="AM373" s="961">
        <v>103770</v>
      </c>
      <c r="AN373" s="961">
        <v>0</v>
      </c>
      <c r="AO373" s="961">
        <v>456619</v>
      </c>
      <c r="AP373" s="961">
        <v>311885</v>
      </c>
      <c r="AQ373" s="961">
        <v>283156</v>
      </c>
      <c r="AR373" s="961">
        <v>0</v>
      </c>
      <c r="AS373" s="961">
        <v>30453</v>
      </c>
      <c r="AT373" s="961">
        <v>0</v>
      </c>
      <c r="AU373" s="961">
        <v>152187</v>
      </c>
      <c r="AV373" s="961">
        <v>29717</v>
      </c>
      <c r="AW373" s="961">
        <v>0</v>
      </c>
      <c r="AX373" s="961">
        <v>242557</v>
      </c>
      <c r="AY373" s="961">
        <v>18187201</v>
      </c>
      <c r="AZ373" s="961">
        <v>128474</v>
      </c>
      <c r="BA373" s="961">
        <v>0</v>
      </c>
      <c r="BB373" s="961">
        <v>30907</v>
      </c>
      <c r="BC373" s="961">
        <v>1140442</v>
      </c>
      <c r="BD373" s="961">
        <v>43630</v>
      </c>
      <c r="BE373" s="961">
        <v>0</v>
      </c>
      <c r="BF373" s="961">
        <v>74326</v>
      </c>
      <c r="BG373" s="961">
        <v>87065</v>
      </c>
      <c r="BH373" s="961">
        <v>1966774</v>
      </c>
      <c r="BI373" s="961">
        <v>209023</v>
      </c>
      <c r="BJ373" s="961">
        <v>52272</v>
      </c>
      <c r="BK373" s="915"/>
      <c r="BL373" s="915"/>
    </row>
    <row r="374" spans="1:64" x14ac:dyDescent="0.3">
      <c r="A374" s="947">
        <v>663</v>
      </c>
      <c r="B374" s="1017">
        <v>663</v>
      </c>
      <c r="C374" s="947">
        <v>663</v>
      </c>
      <c r="D374" s="947" t="s">
        <v>535</v>
      </c>
      <c r="E374" s="947"/>
      <c r="F374" s="958">
        <v>193606</v>
      </c>
      <c r="G374" s="959">
        <v>378685</v>
      </c>
      <c r="H374" s="959">
        <v>394972</v>
      </c>
      <c r="I374" s="959">
        <v>116031</v>
      </c>
      <c r="J374" s="959">
        <v>454458</v>
      </c>
      <c r="K374" s="959">
        <v>134198</v>
      </c>
      <c r="L374" s="960">
        <v>87115</v>
      </c>
      <c r="M374" s="961">
        <v>0</v>
      </c>
      <c r="N374" s="961">
        <v>233750</v>
      </c>
      <c r="O374" s="962">
        <v>97158</v>
      </c>
      <c r="P374" s="962">
        <v>201032</v>
      </c>
      <c r="Q374" s="962">
        <v>498759</v>
      </c>
      <c r="R374" s="962">
        <v>205823</v>
      </c>
      <c r="S374" s="962">
        <v>64317</v>
      </c>
      <c r="T374" s="962">
        <v>0</v>
      </c>
      <c r="U374" s="962">
        <v>582022</v>
      </c>
      <c r="V374" s="962">
        <v>560880</v>
      </c>
      <c r="W374" s="962">
        <v>102569</v>
      </c>
      <c r="X374" s="962">
        <v>60772</v>
      </c>
      <c r="Y374" s="962">
        <v>1024056</v>
      </c>
      <c r="Z374" s="962">
        <v>0</v>
      </c>
      <c r="AA374" s="962">
        <v>0</v>
      </c>
      <c r="AB374" s="962">
        <v>0</v>
      </c>
      <c r="AC374" s="962">
        <v>295013</v>
      </c>
      <c r="AD374" s="961">
        <v>0</v>
      </c>
      <c r="AE374" s="961">
        <v>908038</v>
      </c>
      <c r="AF374" s="961">
        <v>68455</v>
      </c>
      <c r="AG374" s="961">
        <v>633699</v>
      </c>
      <c r="AH374" s="961">
        <v>290519</v>
      </c>
      <c r="AI374" s="961">
        <v>112136</v>
      </c>
      <c r="AJ374" s="961">
        <v>928920</v>
      </c>
      <c r="AK374" s="961">
        <v>457808</v>
      </c>
      <c r="AL374" s="961">
        <v>715951</v>
      </c>
      <c r="AM374" s="961">
        <v>0</v>
      </c>
      <c r="AN374" s="961">
        <v>355028</v>
      </c>
      <c r="AO374" s="961">
        <v>553062</v>
      </c>
      <c r="AP374" s="961">
        <v>324471</v>
      </c>
      <c r="AQ374" s="961">
        <v>226064</v>
      </c>
      <c r="AR374" s="961">
        <v>300238</v>
      </c>
      <c r="AS374" s="961">
        <v>0</v>
      </c>
      <c r="AT374" s="961">
        <v>317745</v>
      </c>
      <c r="AU374" s="961">
        <v>105153</v>
      </c>
      <c r="AV374" s="961">
        <v>234928</v>
      </c>
      <c r="AW374" s="961">
        <v>0</v>
      </c>
      <c r="AX374" s="961">
        <v>228839</v>
      </c>
      <c r="AY374" s="961">
        <v>3829817</v>
      </c>
      <c r="AZ374" s="961">
        <v>178794</v>
      </c>
      <c r="BA374" s="961">
        <v>274820</v>
      </c>
      <c r="BB374" s="961">
        <v>133881</v>
      </c>
      <c r="BC374" s="961">
        <v>737783</v>
      </c>
      <c r="BD374" s="961">
        <v>32095</v>
      </c>
      <c r="BE374" s="961">
        <v>0</v>
      </c>
      <c r="BF374" s="961">
        <v>354998</v>
      </c>
      <c r="BG374" s="961">
        <v>439155</v>
      </c>
      <c r="BH374" s="961">
        <v>1749399</v>
      </c>
      <c r="BI374" s="961">
        <v>274690</v>
      </c>
      <c r="BJ374" s="961">
        <v>76580</v>
      </c>
      <c r="BK374" s="915"/>
      <c r="BL374" s="915"/>
    </row>
    <row r="375" spans="1:64" x14ac:dyDescent="0.3">
      <c r="A375" s="1031">
        <v>998</v>
      </c>
      <c r="B375" s="1032">
        <v>998</v>
      </c>
      <c r="C375" s="1033">
        <v>998</v>
      </c>
      <c r="D375" s="1034" t="s">
        <v>287</v>
      </c>
      <c r="E375" s="1034"/>
      <c r="F375" s="1035">
        <v>52</v>
      </c>
      <c r="G375" s="1036">
        <v>52</v>
      </c>
      <c r="H375" s="1036">
        <v>52</v>
      </c>
      <c r="I375" s="1036">
        <v>52</v>
      </c>
      <c r="J375" s="1036">
        <v>52</v>
      </c>
      <c r="K375" s="1036">
        <v>52</v>
      </c>
      <c r="L375" s="1037">
        <v>52</v>
      </c>
      <c r="M375" s="1038">
        <v>52</v>
      </c>
      <c r="N375" s="1038">
        <v>52</v>
      </c>
      <c r="O375" s="1039">
        <v>52</v>
      </c>
      <c r="P375" s="1039">
        <v>52</v>
      </c>
      <c r="Q375" s="1039">
        <v>52</v>
      </c>
      <c r="R375" s="1039">
        <v>52</v>
      </c>
      <c r="S375" s="1039">
        <v>52</v>
      </c>
      <c r="T375" s="1039">
        <v>52</v>
      </c>
      <c r="U375" s="1039">
        <v>52</v>
      </c>
      <c r="V375" s="1039">
        <v>52</v>
      </c>
      <c r="W375" s="1039">
        <v>52</v>
      </c>
      <c r="X375" s="1039">
        <v>52</v>
      </c>
      <c r="Y375" s="1039">
        <v>52</v>
      </c>
      <c r="Z375" s="1039">
        <v>52</v>
      </c>
      <c r="AA375" s="1039">
        <v>52</v>
      </c>
      <c r="AB375" s="1039">
        <v>52</v>
      </c>
      <c r="AC375" s="1039">
        <v>52</v>
      </c>
      <c r="AD375" s="1038">
        <v>52</v>
      </c>
      <c r="AE375" s="1038">
        <v>52</v>
      </c>
      <c r="AF375" s="1038">
        <v>0</v>
      </c>
      <c r="AG375" s="1038">
        <v>52</v>
      </c>
      <c r="AH375" s="1038">
        <v>52</v>
      </c>
      <c r="AI375" s="1038">
        <v>52</v>
      </c>
      <c r="AJ375" s="1038">
        <v>52</v>
      </c>
      <c r="AK375" s="1038">
        <v>52</v>
      </c>
      <c r="AL375" s="1038">
        <v>52</v>
      </c>
      <c r="AM375" s="1038">
        <v>52</v>
      </c>
      <c r="AN375" s="1038">
        <v>52</v>
      </c>
      <c r="AO375" s="1038">
        <v>52</v>
      </c>
      <c r="AP375" s="1038">
        <v>52</v>
      </c>
      <c r="AQ375" s="1038">
        <v>52</v>
      </c>
      <c r="AR375" s="1038">
        <v>52</v>
      </c>
      <c r="AS375" s="1038">
        <v>52</v>
      </c>
      <c r="AT375" s="1038">
        <v>52</v>
      </c>
      <c r="AU375" s="1038">
        <v>52</v>
      </c>
      <c r="AV375" s="1038">
        <v>52</v>
      </c>
      <c r="AW375" s="1038">
        <v>52</v>
      </c>
      <c r="AX375" s="1038">
        <v>52</v>
      </c>
      <c r="AY375" s="1038">
        <v>52</v>
      </c>
      <c r="AZ375" s="1038">
        <v>52</v>
      </c>
      <c r="BA375" s="1038">
        <v>52</v>
      </c>
      <c r="BB375" s="1038">
        <v>52</v>
      </c>
      <c r="BC375" s="1038">
        <v>52</v>
      </c>
      <c r="BD375" s="1038">
        <v>52</v>
      </c>
      <c r="BE375" s="1038">
        <v>52</v>
      </c>
      <c r="BF375" s="1038">
        <v>52</v>
      </c>
      <c r="BG375" s="1038">
        <v>52</v>
      </c>
      <c r="BH375" s="1038">
        <v>52</v>
      </c>
      <c r="BI375" s="1038">
        <v>52</v>
      </c>
      <c r="BJ375" s="1038">
        <v>52</v>
      </c>
      <c r="BK375" s="915"/>
      <c r="BL375" s="915"/>
    </row>
    <row r="376" spans="1:64" x14ac:dyDescent="0.3">
      <c r="A376" s="1031">
        <v>999</v>
      </c>
      <c r="B376" s="1032">
        <v>999</v>
      </c>
      <c r="C376" s="1033">
        <v>999</v>
      </c>
      <c r="D376" s="1034" t="s">
        <v>288</v>
      </c>
      <c r="E376" s="1034"/>
      <c r="F376" s="1035">
        <v>52821</v>
      </c>
      <c r="G376" s="1036">
        <v>52823</v>
      </c>
      <c r="H376" s="1036">
        <v>52824</v>
      </c>
      <c r="I376" s="1036">
        <v>52825</v>
      </c>
      <c r="J376" s="1036">
        <v>52826</v>
      </c>
      <c r="K376" s="1036">
        <v>52827</v>
      </c>
      <c r="L376" s="1037">
        <v>52828</v>
      </c>
      <c r="M376" s="1038">
        <v>52829</v>
      </c>
      <c r="N376" s="1038">
        <v>52830</v>
      </c>
      <c r="O376" s="1039">
        <v>52831</v>
      </c>
      <c r="P376" s="1039">
        <v>52832</v>
      </c>
      <c r="Q376" s="1039">
        <v>52833</v>
      </c>
      <c r="R376" s="1039">
        <v>52834</v>
      </c>
      <c r="S376" s="1039">
        <v>52835</v>
      </c>
      <c r="T376" s="1039">
        <v>524017</v>
      </c>
      <c r="U376" s="1039">
        <v>52994</v>
      </c>
      <c r="V376" s="1039">
        <v>52836</v>
      </c>
      <c r="W376" s="1039">
        <v>52837</v>
      </c>
      <c r="X376" s="1039">
        <v>52838</v>
      </c>
      <c r="Y376" s="1039">
        <v>52839</v>
      </c>
      <c r="Z376" s="1039">
        <v>52840</v>
      </c>
      <c r="AA376" s="1039">
        <v>52841</v>
      </c>
      <c r="AB376" s="1039">
        <v>52842</v>
      </c>
      <c r="AC376" s="1039">
        <v>52843</v>
      </c>
      <c r="AD376" s="1038">
        <v>52844</v>
      </c>
      <c r="AE376" s="1038">
        <v>52845</v>
      </c>
      <c r="AF376" s="1038">
        <v>0</v>
      </c>
      <c r="AG376" s="1038">
        <v>52847</v>
      </c>
      <c r="AH376" s="1038">
        <v>52848</v>
      </c>
      <c r="AI376" s="1038">
        <v>52849</v>
      </c>
      <c r="AJ376" s="1038">
        <v>52850</v>
      </c>
      <c r="AK376" s="1038">
        <v>52851</v>
      </c>
      <c r="AL376" s="1038">
        <v>52995</v>
      </c>
      <c r="AM376" s="1038">
        <v>52852</v>
      </c>
      <c r="AN376" s="1038">
        <v>52853</v>
      </c>
      <c r="AO376" s="1038">
        <v>52854</v>
      </c>
      <c r="AP376" s="1038">
        <v>52856</v>
      </c>
      <c r="AQ376" s="1038">
        <v>52857</v>
      </c>
      <c r="AR376" s="1038">
        <v>52858</v>
      </c>
      <c r="AS376" s="1038">
        <v>52859</v>
      </c>
      <c r="AT376" s="1038">
        <v>52860</v>
      </c>
      <c r="AU376" s="1038">
        <v>52861</v>
      </c>
      <c r="AV376" s="1038">
        <v>52862</v>
      </c>
      <c r="AW376" s="1038">
        <v>52863</v>
      </c>
      <c r="AX376" s="1038">
        <v>52864</v>
      </c>
      <c r="AY376" s="1038">
        <v>52865</v>
      </c>
      <c r="AZ376" s="1038">
        <v>52866</v>
      </c>
      <c r="BA376" s="1038">
        <v>52867</v>
      </c>
      <c r="BB376" s="1038">
        <v>52868</v>
      </c>
      <c r="BC376" s="1038">
        <v>52869</v>
      </c>
      <c r="BD376" s="1038">
        <v>52870</v>
      </c>
      <c r="BE376" s="1038">
        <v>52871</v>
      </c>
      <c r="BF376" s="1038">
        <v>52872</v>
      </c>
      <c r="BG376" s="1038">
        <v>52873</v>
      </c>
      <c r="BH376" s="1038">
        <v>52996</v>
      </c>
      <c r="BI376" s="1038">
        <v>52874</v>
      </c>
      <c r="BJ376" s="1038">
        <v>52875</v>
      </c>
      <c r="BK376" s="910"/>
      <c r="BL376" s="910"/>
    </row>
    <row r="377" spans="1:64" x14ac:dyDescent="0.3">
      <c r="A377" s="947">
        <v>906</v>
      </c>
      <c r="B377" s="947"/>
      <c r="C377" s="947" t="s">
        <v>1067</v>
      </c>
      <c r="D377" s="947" t="s">
        <v>584</v>
      </c>
      <c r="E377" s="947"/>
      <c r="F377" s="958">
        <v>1</v>
      </c>
      <c r="G377" s="959">
        <v>1</v>
      </c>
      <c r="H377" s="959">
        <v>1</v>
      </c>
      <c r="I377" s="959">
        <v>1</v>
      </c>
      <c r="J377" s="959">
        <v>1</v>
      </c>
      <c r="K377" s="959">
        <v>1</v>
      </c>
      <c r="L377" s="960">
        <v>1</v>
      </c>
      <c r="M377" s="961">
        <v>1</v>
      </c>
      <c r="N377" s="961">
        <v>1</v>
      </c>
      <c r="O377" s="962">
        <v>1</v>
      </c>
      <c r="P377" s="962">
        <v>1</v>
      </c>
      <c r="Q377" s="962">
        <v>1</v>
      </c>
      <c r="R377" s="962">
        <v>1</v>
      </c>
      <c r="S377" s="962">
        <v>1</v>
      </c>
      <c r="T377" s="962">
        <v>1</v>
      </c>
      <c r="U377" s="962">
        <v>1</v>
      </c>
      <c r="V377" s="962">
        <v>1</v>
      </c>
      <c r="W377" s="962">
        <v>1</v>
      </c>
      <c r="X377" s="962">
        <v>1</v>
      </c>
      <c r="Y377" s="962">
        <v>1</v>
      </c>
      <c r="Z377" s="962">
        <v>1</v>
      </c>
      <c r="AA377" s="962">
        <v>1</v>
      </c>
      <c r="AB377" s="962">
        <v>1</v>
      </c>
      <c r="AC377" s="962">
        <v>1</v>
      </c>
      <c r="AD377" s="961">
        <v>1</v>
      </c>
      <c r="AE377" s="961">
        <v>1</v>
      </c>
      <c r="AF377" s="961">
        <v>1</v>
      </c>
      <c r="AG377" s="961">
        <v>1</v>
      </c>
      <c r="AH377" s="961">
        <v>1</v>
      </c>
      <c r="AI377" s="961">
        <v>1</v>
      </c>
      <c r="AJ377" s="961">
        <v>1</v>
      </c>
      <c r="AK377" s="961">
        <v>1</v>
      </c>
      <c r="AL377" s="961">
        <v>1</v>
      </c>
      <c r="AM377" s="961">
        <v>1</v>
      </c>
      <c r="AN377" s="961">
        <v>1</v>
      </c>
      <c r="AO377" s="961">
        <v>1</v>
      </c>
      <c r="AP377" s="961">
        <v>1</v>
      </c>
      <c r="AQ377" s="961">
        <v>1</v>
      </c>
      <c r="AR377" s="961">
        <v>1</v>
      </c>
      <c r="AS377" s="961">
        <v>1</v>
      </c>
      <c r="AT377" s="961">
        <v>1</v>
      </c>
      <c r="AU377" s="961">
        <v>1</v>
      </c>
      <c r="AV377" s="961">
        <v>1</v>
      </c>
      <c r="AW377" s="961">
        <v>1</v>
      </c>
      <c r="AX377" s="961">
        <v>1</v>
      </c>
      <c r="AY377" s="961">
        <v>1</v>
      </c>
      <c r="AZ377" s="961">
        <v>1</v>
      </c>
      <c r="BA377" s="961">
        <v>1</v>
      </c>
      <c r="BB377" s="961">
        <v>1</v>
      </c>
      <c r="BC377" s="961">
        <v>1</v>
      </c>
      <c r="BD377" s="961">
        <v>1</v>
      </c>
      <c r="BE377" s="961">
        <v>1</v>
      </c>
      <c r="BF377" s="961">
        <v>1</v>
      </c>
      <c r="BG377" s="961">
        <v>1</v>
      </c>
      <c r="BH377" s="961">
        <v>1</v>
      </c>
      <c r="BI377" s="961">
        <v>1</v>
      </c>
      <c r="BJ377" s="961">
        <v>1</v>
      </c>
      <c r="BK377" s="915"/>
      <c r="BL377" s="915"/>
    </row>
    <row r="378" spans="1:64" x14ac:dyDescent="0.3">
      <c r="A378" s="947">
        <v>907</v>
      </c>
      <c r="B378" s="947"/>
      <c r="C378" s="947" t="s">
        <v>1067</v>
      </c>
      <c r="D378" s="947" t="s">
        <v>585</v>
      </c>
      <c r="E378" s="947"/>
      <c r="F378" s="958">
        <v>2</v>
      </c>
      <c r="G378" s="959">
        <v>2</v>
      </c>
      <c r="H378" s="959">
        <v>2</v>
      </c>
      <c r="I378" s="959">
        <v>2</v>
      </c>
      <c r="J378" s="959">
        <v>2</v>
      </c>
      <c r="K378" s="959">
        <v>2</v>
      </c>
      <c r="L378" s="960">
        <v>2</v>
      </c>
      <c r="M378" s="961">
        <v>2</v>
      </c>
      <c r="N378" s="961">
        <v>2</v>
      </c>
      <c r="O378" s="962">
        <v>2</v>
      </c>
      <c r="P378" s="962">
        <v>2</v>
      </c>
      <c r="Q378" s="962">
        <v>2</v>
      </c>
      <c r="R378" s="962">
        <v>2</v>
      </c>
      <c r="S378" s="962">
        <v>2</v>
      </c>
      <c r="T378" s="962">
        <v>2</v>
      </c>
      <c r="U378" s="962">
        <v>2</v>
      </c>
      <c r="V378" s="962">
        <v>2</v>
      </c>
      <c r="W378" s="962">
        <v>2</v>
      </c>
      <c r="X378" s="962">
        <v>2</v>
      </c>
      <c r="Y378" s="962">
        <v>2</v>
      </c>
      <c r="Z378" s="962">
        <v>2</v>
      </c>
      <c r="AA378" s="962">
        <v>2</v>
      </c>
      <c r="AB378" s="962">
        <v>2</v>
      </c>
      <c r="AC378" s="962">
        <v>2</v>
      </c>
      <c r="AD378" s="961">
        <v>2</v>
      </c>
      <c r="AE378" s="961">
        <v>2</v>
      </c>
      <c r="AF378" s="961">
        <v>2</v>
      </c>
      <c r="AG378" s="961">
        <v>2</v>
      </c>
      <c r="AH378" s="961">
        <v>2</v>
      </c>
      <c r="AI378" s="961">
        <v>2</v>
      </c>
      <c r="AJ378" s="961">
        <v>2</v>
      </c>
      <c r="AK378" s="961">
        <v>2</v>
      </c>
      <c r="AL378" s="961">
        <v>2</v>
      </c>
      <c r="AM378" s="961">
        <v>2</v>
      </c>
      <c r="AN378" s="961">
        <v>2</v>
      </c>
      <c r="AO378" s="961">
        <v>2</v>
      </c>
      <c r="AP378" s="961">
        <v>2</v>
      </c>
      <c r="AQ378" s="961">
        <v>2</v>
      </c>
      <c r="AR378" s="961">
        <v>2</v>
      </c>
      <c r="AS378" s="961">
        <v>2</v>
      </c>
      <c r="AT378" s="961">
        <v>2</v>
      </c>
      <c r="AU378" s="961">
        <v>2</v>
      </c>
      <c r="AV378" s="961">
        <v>2</v>
      </c>
      <c r="AW378" s="961">
        <v>2</v>
      </c>
      <c r="AX378" s="961">
        <v>2</v>
      </c>
      <c r="AY378" s="961">
        <v>2</v>
      </c>
      <c r="AZ378" s="961">
        <v>2</v>
      </c>
      <c r="BA378" s="961">
        <v>2</v>
      </c>
      <c r="BB378" s="961">
        <v>2</v>
      </c>
      <c r="BC378" s="961">
        <v>2</v>
      </c>
      <c r="BD378" s="961">
        <v>2</v>
      </c>
      <c r="BE378" s="961">
        <v>2</v>
      </c>
      <c r="BF378" s="961">
        <v>2</v>
      </c>
      <c r="BG378" s="961">
        <v>2</v>
      </c>
      <c r="BH378" s="961">
        <v>2</v>
      </c>
      <c r="BI378" s="961">
        <v>2</v>
      </c>
      <c r="BJ378" s="961">
        <v>2</v>
      </c>
      <c r="BK378" s="915"/>
      <c r="BL378" s="915"/>
    </row>
    <row r="379" spans="1:64" x14ac:dyDescent="0.3">
      <c r="A379" s="947">
        <v>951</v>
      </c>
      <c r="B379" s="947"/>
      <c r="C379" s="947" t="s">
        <v>1067</v>
      </c>
      <c r="D379" s="947" t="s">
        <v>586</v>
      </c>
      <c r="E379" s="947"/>
      <c r="F379" s="958">
        <v>2</v>
      </c>
      <c r="G379" s="959">
        <v>2</v>
      </c>
      <c r="H379" s="959">
        <v>2</v>
      </c>
      <c r="I379" s="959">
        <v>2</v>
      </c>
      <c r="J379" s="959">
        <v>2</v>
      </c>
      <c r="K379" s="959">
        <v>2</v>
      </c>
      <c r="L379" s="960">
        <v>2</v>
      </c>
      <c r="M379" s="961">
        <v>2</v>
      </c>
      <c r="N379" s="961">
        <v>2</v>
      </c>
      <c r="O379" s="962">
        <v>2</v>
      </c>
      <c r="P379" s="962">
        <v>2</v>
      </c>
      <c r="Q379" s="962">
        <v>2</v>
      </c>
      <c r="R379" s="962">
        <v>2</v>
      </c>
      <c r="S379" s="962">
        <v>2</v>
      </c>
      <c r="T379" s="962">
        <v>2</v>
      </c>
      <c r="U379" s="962">
        <v>2</v>
      </c>
      <c r="V379" s="962">
        <v>2</v>
      </c>
      <c r="W379" s="962">
        <v>2</v>
      </c>
      <c r="X379" s="962">
        <v>2</v>
      </c>
      <c r="Y379" s="962">
        <v>2</v>
      </c>
      <c r="Z379" s="962">
        <v>2</v>
      </c>
      <c r="AA379" s="962">
        <v>2</v>
      </c>
      <c r="AB379" s="962">
        <v>2</v>
      </c>
      <c r="AC379" s="962">
        <v>2</v>
      </c>
      <c r="AD379" s="961">
        <v>2</v>
      </c>
      <c r="AE379" s="961">
        <v>2</v>
      </c>
      <c r="AF379" s="961">
        <v>2</v>
      </c>
      <c r="AG379" s="961">
        <v>2</v>
      </c>
      <c r="AH379" s="961">
        <v>2</v>
      </c>
      <c r="AI379" s="961">
        <v>2</v>
      </c>
      <c r="AJ379" s="961">
        <v>2</v>
      </c>
      <c r="AK379" s="961">
        <v>2</v>
      </c>
      <c r="AL379" s="961">
        <v>2</v>
      </c>
      <c r="AM379" s="961">
        <v>2</v>
      </c>
      <c r="AN379" s="961">
        <v>2</v>
      </c>
      <c r="AO379" s="961">
        <v>2</v>
      </c>
      <c r="AP379" s="961">
        <v>2</v>
      </c>
      <c r="AQ379" s="961">
        <v>2</v>
      </c>
      <c r="AR379" s="961">
        <v>2</v>
      </c>
      <c r="AS379" s="961">
        <v>2</v>
      </c>
      <c r="AT379" s="961">
        <v>2</v>
      </c>
      <c r="AU379" s="961">
        <v>2</v>
      </c>
      <c r="AV379" s="961">
        <v>2</v>
      </c>
      <c r="AW379" s="961">
        <v>2</v>
      </c>
      <c r="AX379" s="961">
        <v>2</v>
      </c>
      <c r="AY379" s="961">
        <v>2</v>
      </c>
      <c r="AZ379" s="961">
        <v>2</v>
      </c>
      <c r="BA379" s="961">
        <v>2</v>
      </c>
      <c r="BB379" s="961">
        <v>2</v>
      </c>
      <c r="BC379" s="961">
        <v>2</v>
      </c>
      <c r="BD379" s="961">
        <v>2</v>
      </c>
      <c r="BE379" s="961">
        <v>2</v>
      </c>
      <c r="BF379" s="961">
        <v>2</v>
      </c>
      <c r="BG379" s="961">
        <v>2</v>
      </c>
      <c r="BH379" s="961">
        <v>2</v>
      </c>
      <c r="BI379" s="961">
        <v>2</v>
      </c>
      <c r="BJ379" s="961">
        <v>2</v>
      </c>
      <c r="BK379" s="915"/>
      <c r="BL379" s="915"/>
    </row>
    <row r="380" spans="1:64" x14ac:dyDescent="0.3">
      <c r="A380" s="947">
        <v>953</v>
      </c>
      <c r="B380" s="947"/>
      <c r="C380" s="947" t="s">
        <v>1067</v>
      </c>
      <c r="D380" s="947" t="s">
        <v>587</v>
      </c>
      <c r="E380" s="947"/>
      <c r="F380" s="958">
        <v>2</v>
      </c>
      <c r="G380" s="959">
        <v>2</v>
      </c>
      <c r="H380" s="959">
        <v>2</v>
      </c>
      <c r="I380" s="959">
        <v>2</v>
      </c>
      <c r="J380" s="959">
        <v>2</v>
      </c>
      <c r="K380" s="959">
        <v>2</v>
      </c>
      <c r="L380" s="960">
        <v>2</v>
      </c>
      <c r="M380" s="961">
        <v>2</v>
      </c>
      <c r="N380" s="961">
        <v>2</v>
      </c>
      <c r="O380" s="962">
        <v>2</v>
      </c>
      <c r="P380" s="962">
        <v>2</v>
      </c>
      <c r="Q380" s="962">
        <v>2</v>
      </c>
      <c r="R380" s="962">
        <v>2</v>
      </c>
      <c r="S380" s="962">
        <v>2</v>
      </c>
      <c r="T380" s="962">
        <v>2</v>
      </c>
      <c r="U380" s="962">
        <v>2</v>
      </c>
      <c r="V380" s="962">
        <v>2</v>
      </c>
      <c r="W380" s="962">
        <v>2</v>
      </c>
      <c r="X380" s="962">
        <v>2</v>
      </c>
      <c r="Y380" s="962">
        <v>2</v>
      </c>
      <c r="Z380" s="962">
        <v>2</v>
      </c>
      <c r="AA380" s="962">
        <v>2</v>
      </c>
      <c r="AB380" s="962">
        <v>2</v>
      </c>
      <c r="AC380" s="962">
        <v>2</v>
      </c>
      <c r="AD380" s="961">
        <v>2</v>
      </c>
      <c r="AE380" s="961">
        <v>2</v>
      </c>
      <c r="AF380" s="961">
        <v>2</v>
      </c>
      <c r="AG380" s="961">
        <v>2</v>
      </c>
      <c r="AH380" s="961">
        <v>2</v>
      </c>
      <c r="AI380" s="961">
        <v>2</v>
      </c>
      <c r="AJ380" s="961">
        <v>2</v>
      </c>
      <c r="AK380" s="961">
        <v>2</v>
      </c>
      <c r="AL380" s="961">
        <v>2</v>
      </c>
      <c r="AM380" s="961">
        <v>2</v>
      </c>
      <c r="AN380" s="961">
        <v>2</v>
      </c>
      <c r="AO380" s="961">
        <v>2</v>
      </c>
      <c r="AP380" s="961">
        <v>2</v>
      </c>
      <c r="AQ380" s="961">
        <v>2</v>
      </c>
      <c r="AR380" s="961">
        <v>2</v>
      </c>
      <c r="AS380" s="961">
        <v>2</v>
      </c>
      <c r="AT380" s="961">
        <v>2</v>
      </c>
      <c r="AU380" s="961">
        <v>2</v>
      </c>
      <c r="AV380" s="961">
        <v>2</v>
      </c>
      <c r="AW380" s="961">
        <v>2</v>
      </c>
      <c r="AX380" s="961">
        <v>2</v>
      </c>
      <c r="AY380" s="961">
        <v>2</v>
      </c>
      <c r="AZ380" s="961">
        <v>2</v>
      </c>
      <c r="BA380" s="961">
        <v>2</v>
      </c>
      <c r="BB380" s="961">
        <v>2</v>
      </c>
      <c r="BC380" s="961">
        <v>2</v>
      </c>
      <c r="BD380" s="961">
        <v>2</v>
      </c>
      <c r="BE380" s="961">
        <v>2</v>
      </c>
      <c r="BF380" s="961">
        <v>2</v>
      </c>
      <c r="BG380" s="961">
        <v>2</v>
      </c>
      <c r="BH380" s="961">
        <v>2</v>
      </c>
      <c r="BI380" s="961">
        <v>2</v>
      </c>
      <c r="BJ380" s="961">
        <v>2</v>
      </c>
      <c r="BK380" s="915"/>
      <c r="BL380" s="915"/>
    </row>
    <row r="381" spans="1:64" x14ac:dyDescent="0.3">
      <c r="A381" s="947">
        <v>955</v>
      </c>
      <c r="B381" s="947"/>
      <c r="C381" s="947" t="s">
        <v>1067</v>
      </c>
      <c r="D381" s="947" t="s">
        <v>597</v>
      </c>
      <c r="E381" s="947"/>
      <c r="F381" s="958">
        <v>1</v>
      </c>
      <c r="G381" s="959">
        <v>0</v>
      </c>
      <c r="H381" s="959">
        <v>0</v>
      </c>
      <c r="I381" s="959">
        <v>1</v>
      </c>
      <c r="J381" s="959">
        <v>1</v>
      </c>
      <c r="K381" s="959">
        <v>0</v>
      </c>
      <c r="L381" s="960">
        <v>0</v>
      </c>
      <c r="M381" s="961">
        <v>0</v>
      </c>
      <c r="N381" s="961">
        <v>0</v>
      </c>
      <c r="O381" s="962">
        <v>0</v>
      </c>
      <c r="P381" s="962">
        <v>0</v>
      </c>
      <c r="Q381" s="962">
        <v>0</v>
      </c>
      <c r="R381" s="962">
        <v>0</v>
      </c>
      <c r="S381" s="962">
        <v>0</v>
      </c>
      <c r="T381" s="962">
        <v>0</v>
      </c>
      <c r="U381" s="962">
        <v>1</v>
      </c>
      <c r="V381" s="962">
        <v>0</v>
      </c>
      <c r="W381" s="962">
        <v>1</v>
      </c>
      <c r="X381" s="962">
        <v>3</v>
      </c>
      <c r="Y381" s="962">
        <v>0</v>
      </c>
      <c r="Z381" s="962">
        <v>0</v>
      </c>
      <c r="AA381" s="962">
        <v>0</v>
      </c>
      <c r="AB381" s="962">
        <v>0</v>
      </c>
      <c r="AC381" s="962">
        <v>0</v>
      </c>
      <c r="AD381" s="961">
        <v>0</v>
      </c>
      <c r="AE381" s="961">
        <v>0</v>
      </c>
      <c r="AF381" s="961">
        <v>0</v>
      </c>
      <c r="AG381" s="961">
        <v>1</v>
      </c>
      <c r="AH381" s="961">
        <v>0</v>
      </c>
      <c r="AI381" s="961">
        <v>0</v>
      </c>
      <c r="AJ381" s="961">
        <v>0</v>
      </c>
      <c r="AK381" s="961">
        <v>0</v>
      </c>
      <c r="AL381" s="961">
        <v>1</v>
      </c>
      <c r="AM381" s="961">
        <v>0</v>
      </c>
      <c r="AN381" s="961">
        <v>0</v>
      </c>
      <c r="AO381" s="961">
        <v>3</v>
      </c>
      <c r="AP381" s="961">
        <v>0</v>
      </c>
      <c r="AQ381" s="961">
        <v>0</v>
      </c>
      <c r="AR381" s="961">
        <v>0</v>
      </c>
      <c r="AS381" s="961">
        <v>0</v>
      </c>
      <c r="AT381" s="961">
        <v>0</v>
      </c>
      <c r="AU381" s="961">
        <v>0</v>
      </c>
      <c r="AV381" s="961">
        <v>0</v>
      </c>
      <c r="AW381" s="961">
        <v>0</v>
      </c>
      <c r="AX381" s="961">
        <v>2</v>
      </c>
      <c r="AY381" s="961">
        <v>0</v>
      </c>
      <c r="AZ381" s="961">
        <v>0</v>
      </c>
      <c r="BA381" s="961">
        <v>5</v>
      </c>
      <c r="BB381" s="961">
        <v>1</v>
      </c>
      <c r="BC381" s="961">
        <v>0</v>
      </c>
      <c r="BD381" s="961">
        <v>0</v>
      </c>
      <c r="BE381" s="961">
        <v>1</v>
      </c>
      <c r="BF381" s="961">
        <v>0</v>
      </c>
      <c r="BG381" s="961">
        <v>0</v>
      </c>
      <c r="BH381" s="961">
        <v>2</v>
      </c>
      <c r="BI381" s="961">
        <v>1</v>
      </c>
      <c r="BJ381" s="961">
        <v>0</v>
      </c>
      <c r="BK381" s="915"/>
      <c r="BL381" s="915"/>
    </row>
    <row r="382" spans="1:64" x14ac:dyDescent="0.3">
      <c r="A382" s="947">
        <v>957</v>
      </c>
      <c r="B382" s="947"/>
      <c r="C382" s="947" t="s">
        <v>1067</v>
      </c>
      <c r="D382" s="947" t="s">
        <v>598</v>
      </c>
      <c r="E382" s="947"/>
      <c r="F382" s="958">
        <v>0</v>
      </c>
      <c r="G382" s="959">
        <v>0</v>
      </c>
      <c r="H382" s="959">
        <v>1</v>
      </c>
      <c r="I382" s="959">
        <v>0</v>
      </c>
      <c r="J382" s="959">
        <v>0</v>
      </c>
      <c r="K382" s="959">
        <v>0</v>
      </c>
      <c r="L382" s="960">
        <v>0</v>
      </c>
      <c r="M382" s="961">
        <v>0</v>
      </c>
      <c r="N382" s="961">
        <v>0</v>
      </c>
      <c r="O382" s="962">
        <v>0</v>
      </c>
      <c r="P382" s="962">
        <v>0</v>
      </c>
      <c r="Q382" s="962">
        <v>0</v>
      </c>
      <c r="R382" s="962">
        <v>0</v>
      </c>
      <c r="S382" s="962">
        <v>0</v>
      </c>
      <c r="T382" s="962">
        <v>0</v>
      </c>
      <c r="U382" s="962">
        <v>0</v>
      </c>
      <c r="V382" s="962">
        <v>0</v>
      </c>
      <c r="W382" s="962">
        <v>0</v>
      </c>
      <c r="X382" s="962">
        <v>0</v>
      </c>
      <c r="Y382" s="962">
        <v>0</v>
      </c>
      <c r="Z382" s="962">
        <v>0</v>
      </c>
      <c r="AA382" s="962">
        <v>0</v>
      </c>
      <c r="AB382" s="962">
        <v>0</v>
      </c>
      <c r="AC382" s="962">
        <v>0</v>
      </c>
      <c r="AD382" s="961">
        <v>0</v>
      </c>
      <c r="AE382" s="961">
        <v>0</v>
      </c>
      <c r="AF382" s="961">
        <v>0</v>
      </c>
      <c r="AG382" s="961">
        <v>0</v>
      </c>
      <c r="AH382" s="961">
        <v>0</v>
      </c>
      <c r="AI382" s="961">
        <v>0</v>
      </c>
      <c r="AJ382" s="961">
        <v>0</v>
      </c>
      <c r="AK382" s="961">
        <v>0</v>
      </c>
      <c r="AL382" s="961">
        <v>0</v>
      </c>
      <c r="AM382" s="961">
        <v>0</v>
      </c>
      <c r="AN382" s="961">
        <v>0</v>
      </c>
      <c r="AO382" s="961">
        <v>0</v>
      </c>
      <c r="AP382" s="961">
        <v>0</v>
      </c>
      <c r="AQ382" s="961">
        <v>0</v>
      </c>
      <c r="AR382" s="961">
        <v>0</v>
      </c>
      <c r="AS382" s="961">
        <v>0</v>
      </c>
      <c r="AT382" s="961">
        <v>1</v>
      </c>
      <c r="AU382" s="961">
        <v>0</v>
      </c>
      <c r="AV382" s="961">
        <v>0</v>
      </c>
      <c r="AW382" s="961">
        <v>0</v>
      </c>
      <c r="AX382" s="961">
        <v>1</v>
      </c>
      <c r="AY382" s="961">
        <v>0</v>
      </c>
      <c r="AZ382" s="961">
        <v>1</v>
      </c>
      <c r="BA382" s="961">
        <v>0</v>
      </c>
      <c r="BB382" s="961">
        <v>0</v>
      </c>
      <c r="BC382" s="961">
        <v>4</v>
      </c>
      <c r="BD382" s="961">
        <v>0</v>
      </c>
      <c r="BE382" s="961">
        <v>0</v>
      </c>
      <c r="BF382" s="961">
        <v>0</v>
      </c>
      <c r="BG382" s="961">
        <v>0</v>
      </c>
      <c r="BH382" s="961">
        <v>1</v>
      </c>
      <c r="BI382" s="961">
        <v>0</v>
      </c>
      <c r="BJ382" s="961">
        <v>0</v>
      </c>
      <c r="BK382" s="915"/>
      <c r="BL382" s="915"/>
    </row>
    <row r="383" spans="1:64" x14ac:dyDescent="0.3">
      <c r="A383" s="947">
        <v>959</v>
      </c>
      <c r="B383" s="947"/>
      <c r="C383" s="947" t="s">
        <v>1067</v>
      </c>
      <c r="D383" s="947" t="s">
        <v>588</v>
      </c>
      <c r="E383" s="947"/>
      <c r="F383" s="958">
        <v>2</v>
      </c>
      <c r="G383" s="959">
        <v>2</v>
      </c>
      <c r="H383" s="959">
        <v>2</v>
      </c>
      <c r="I383" s="959">
        <v>2</v>
      </c>
      <c r="J383" s="959">
        <v>2</v>
      </c>
      <c r="K383" s="959">
        <v>2</v>
      </c>
      <c r="L383" s="960">
        <v>2</v>
      </c>
      <c r="M383" s="961">
        <v>2</v>
      </c>
      <c r="N383" s="961">
        <v>2</v>
      </c>
      <c r="O383" s="962">
        <v>3</v>
      </c>
      <c r="P383" s="962">
        <v>2</v>
      </c>
      <c r="Q383" s="962">
        <v>3</v>
      </c>
      <c r="R383" s="962">
        <v>2</v>
      </c>
      <c r="S383" s="962">
        <v>3</v>
      </c>
      <c r="T383" s="962">
        <v>2</v>
      </c>
      <c r="U383" s="962">
        <v>2</v>
      </c>
      <c r="V383" s="962">
        <v>3</v>
      </c>
      <c r="W383" s="962">
        <v>2</v>
      </c>
      <c r="X383" s="962">
        <v>2</v>
      </c>
      <c r="Y383" s="962">
        <v>2</v>
      </c>
      <c r="Z383" s="962">
        <v>2</v>
      </c>
      <c r="AA383" s="962">
        <v>2</v>
      </c>
      <c r="AB383" s="962">
        <v>3</v>
      </c>
      <c r="AC383" s="962">
        <v>2</v>
      </c>
      <c r="AD383" s="961">
        <v>2</v>
      </c>
      <c r="AE383" s="961">
        <v>3</v>
      </c>
      <c r="AF383" s="961">
        <v>2</v>
      </c>
      <c r="AG383" s="961">
        <v>3</v>
      </c>
      <c r="AH383" s="961">
        <v>2</v>
      </c>
      <c r="AI383" s="961">
        <v>2</v>
      </c>
      <c r="AJ383" s="961">
        <v>2</v>
      </c>
      <c r="AK383" s="961">
        <v>2</v>
      </c>
      <c r="AL383" s="961">
        <v>2</v>
      </c>
      <c r="AM383" s="961">
        <v>2</v>
      </c>
      <c r="AN383" s="961">
        <v>2</v>
      </c>
      <c r="AO383" s="961">
        <v>2</v>
      </c>
      <c r="AP383" s="961">
        <v>2</v>
      </c>
      <c r="AQ383" s="961">
        <v>3</v>
      </c>
      <c r="AR383" s="961">
        <v>2</v>
      </c>
      <c r="AS383" s="961">
        <v>2</v>
      </c>
      <c r="AT383" s="961">
        <v>2</v>
      </c>
      <c r="AU383" s="961">
        <v>2</v>
      </c>
      <c r="AV383" s="961">
        <v>2</v>
      </c>
      <c r="AW383" s="961">
        <v>2</v>
      </c>
      <c r="AX383" s="961">
        <v>3</v>
      </c>
      <c r="AY383" s="961">
        <v>3</v>
      </c>
      <c r="AZ383" s="961">
        <v>2</v>
      </c>
      <c r="BA383" s="961">
        <v>2</v>
      </c>
      <c r="BB383" s="961">
        <v>2</v>
      </c>
      <c r="BC383" s="961">
        <v>2</v>
      </c>
      <c r="BD383" s="961">
        <v>2</v>
      </c>
      <c r="BE383" s="961">
        <v>2</v>
      </c>
      <c r="BF383" s="961">
        <v>3</v>
      </c>
      <c r="BG383" s="961">
        <v>2</v>
      </c>
      <c r="BH383" s="961">
        <v>3</v>
      </c>
      <c r="BI383" s="961">
        <v>2</v>
      </c>
      <c r="BJ383" s="961">
        <v>2</v>
      </c>
      <c r="BK383" s="915"/>
      <c r="BL383" s="915"/>
    </row>
    <row r="384" spans="1:64" x14ac:dyDescent="0.3">
      <c r="A384" s="947">
        <v>961</v>
      </c>
      <c r="B384" s="947"/>
      <c r="C384" s="947" t="s">
        <v>1067</v>
      </c>
      <c r="D384" s="947" t="s">
        <v>589</v>
      </c>
      <c r="E384" s="947"/>
      <c r="F384" s="958">
        <v>2</v>
      </c>
      <c r="G384" s="959">
        <v>2</v>
      </c>
      <c r="H384" s="959">
        <v>2</v>
      </c>
      <c r="I384" s="959">
        <v>2</v>
      </c>
      <c r="J384" s="959">
        <v>2</v>
      </c>
      <c r="K384" s="959">
        <v>2</v>
      </c>
      <c r="L384" s="960">
        <v>2</v>
      </c>
      <c r="M384" s="961">
        <v>2</v>
      </c>
      <c r="N384" s="961">
        <v>2</v>
      </c>
      <c r="O384" s="962">
        <v>3</v>
      </c>
      <c r="P384" s="962">
        <v>2</v>
      </c>
      <c r="Q384" s="962">
        <v>3</v>
      </c>
      <c r="R384" s="962">
        <v>2</v>
      </c>
      <c r="S384" s="962">
        <v>3</v>
      </c>
      <c r="T384" s="962">
        <v>2</v>
      </c>
      <c r="U384" s="962">
        <v>2</v>
      </c>
      <c r="V384" s="962">
        <v>3</v>
      </c>
      <c r="W384" s="962">
        <v>2</v>
      </c>
      <c r="X384" s="962">
        <v>2</v>
      </c>
      <c r="Y384" s="962">
        <v>2</v>
      </c>
      <c r="Z384" s="962">
        <v>2</v>
      </c>
      <c r="AA384" s="962">
        <v>3</v>
      </c>
      <c r="AB384" s="962">
        <v>2</v>
      </c>
      <c r="AC384" s="962">
        <v>2</v>
      </c>
      <c r="AD384" s="961">
        <v>2</v>
      </c>
      <c r="AE384" s="961">
        <v>3</v>
      </c>
      <c r="AF384" s="961">
        <v>2</v>
      </c>
      <c r="AG384" s="961">
        <v>3</v>
      </c>
      <c r="AH384" s="961">
        <v>2</v>
      </c>
      <c r="AI384" s="961">
        <v>2</v>
      </c>
      <c r="AJ384" s="961">
        <v>2</v>
      </c>
      <c r="AK384" s="961">
        <v>2</v>
      </c>
      <c r="AL384" s="961">
        <v>2</v>
      </c>
      <c r="AM384" s="961">
        <v>2</v>
      </c>
      <c r="AN384" s="961">
        <v>2</v>
      </c>
      <c r="AO384" s="961">
        <v>2</v>
      </c>
      <c r="AP384" s="961">
        <v>2</v>
      </c>
      <c r="AQ384" s="961">
        <v>3</v>
      </c>
      <c r="AR384" s="961">
        <v>2</v>
      </c>
      <c r="AS384" s="961">
        <v>2</v>
      </c>
      <c r="AT384" s="961">
        <v>2</v>
      </c>
      <c r="AU384" s="961">
        <v>2</v>
      </c>
      <c r="AV384" s="961">
        <v>3</v>
      </c>
      <c r="AW384" s="961">
        <v>2</v>
      </c>
      <c r="AX384" s="961">
        <v>3</v>
      </c>
      <c r="AY384" s="961">
        <v>3</v>
      </c>
      <c r="AZ384" s="961">
        <v>2</v>
      </c>
      <c r="BA384" s="961">
        <v>2</v>
      </c>
      <c r="BB384" s="961">
        <v>2</v>
      </c>
      <c r="BC384" s="961">
        <v>2</v>
      </c>
      <c r="BD384" s="961">
        <v>2</v>
      </c>
      <c r="BE384" s="961">
        <v>2</v>
      </c>
      <c r="BF384" s="961">
        <v>3</v>
      </c>
      <c r="BG384" s="961">
        <v>2</v>
      </c>
      <c r="BH384" s="961">
        <v>3</v>
      </c>
      <c r="BI384" s="961">
        <v>2</v>
      </c>
      <c r="BJ384" s="961">
        <v>2</v>
      </c>
      <c r="BK384" s="915"/>
      <c r="BL384" s="915"/>
    </row>
    <row r="385" spans="1:80" x14ac:dyDescent="0.3">
      <c r="A385" s="947">
        <v>963</v>
      </c>
      <c r="B385" s="947"/>
      <c r="C385" s="947" t="s">
        <v>1067</v>
      </c>
      <c r="D385" s="947" t="s">
        <v>590</v>
      </c>
      <c r="E385" s="947"/>
      <c r="F385" s="958">
        <v>3</v>
      </c>
      <c r="G385" s="959">
        <v>3</v>
      </c>
      <c r="H385" s="959">
        <v>3</v>
      </c>
      <c r="I385" s="959">
        <v>3</v>
      </c>
      <c r="J385" s="959">
        <v>3</v>
      </c>
      <c r="K385" s="959">
        <v>1</v>
      </c>
      <c r="L385" s="960">
        <v>3</v>
      </c>
      <c r="M385" s="961">
        <v>3</v>
      </c>
      <c r="N385" s="961">
        <v>3</v>
      </c>
      <c r="O385" s="962">
        <v>3</v>
      </c>
      <c r="P385" s="962">
        <v>3</v>
      </c>
      <c r="Q385" s="962">
        <v>3</v>
      </c>
      <c r="R385" s="962">
        <v>3</v>
      </c>
      <c r="S385" s="962">
        <v>3</v>
      </c>
      <c r="T385" s="962">
        <v>3</v>
      </c>
      <c r="U385" s="962">
        <v>3</v>
      </c>
      <c r="V385" s="962">
        <v>3</v>
      </c>
      <c r="W385" s="962">
        <v>3</v>
      </c>
      <c r="X385" s="962">
        <v>3</v>
      </c>
      <c r="Y385" s="962">
        <v>3</v>
      </c>
      <c r="Z385" s="962">
        <v>3</v>
      </c>
      <c r="AA385" s="962">
        <v>3</v>
      </c>
      <c r="AB385" s="962">
        <v>3</v>
      </c>
      <c r="AC385" s="962">
        <v>3</v>
      </c>
      <c r="AD385" s="961">
        <v>3</v>
      </c>
      <c r="AE385" s="961">
        <v>3</v>
      </c>
      <c r="AF385" s="961">
        <v>3</v>
      </c>
      <c r="AG385" s="961">
        <v>3</v>
      </c>
      <c r="AH385" s="961">
        <v>3</v>
      </c>
      <c r="AI385" s="961">
        <v>3</v>
      </c>
      <c r="AJ385" s="961">
        <v>3</v>
      </c>
      <c r="AK385" s="961">
        <v>3</v>
      </c>
      <c r="AL385" s="961">
        <v>3</v>
      </c>
      <c r="AM385" s="961">
        <v>3</v>
      </c>
      <c r="AN385" s="961">
        <v>3</v>
      </c>
      <c r="AO385" s="961">
        <v>3</v>
      </c>
      <c r="AP385" s="961">
        <v>3</v>
      </c>
      <c r="AQ385" s="961">
        <v>3</v>
      </c>
      <c r="AR385" s="961">
        <v>3</v>
      </c>
      <c r="AS385" s="961">
        <v>3</v>
      </c>
      <c r="AT385" s="961">
        <v>3</v>
      </c>
      <c r="AU385" s="961">
        <v>3</v>
      </c>
      <c r="AV385" s="961">
        <v>3</v>
      </c>
      <c r="AW385" s="961">
        <v>3</v>
      </c>
      <c r="AX385" s="961">
        <v>3</v>
      </c>
      <c r="AY385" s="961">
        <v>3</v>
      </c>
      <c r="AZ385" s="961">
        <v>3</v>
      </c>
      <c r="BA385" s="961">
        <v>3</v>
      </c>
      <c r="BB385" s="961">
        <v>3</v>
      </c>
      <c r="BC385" s="961">
        <v>3</v>
      </c>
      <c r="BD385" s="961">
        <v>3</v>
      </c>
      <c r="BE385" s="961">
        <v>3</v>
      </c>
      <c r="BF385" s="961">
        <v>3</v>
      </c>
      <c r="BG385" s="961">
        <v>3</v>
      </c>
      <c r="BH385" s="961">
        <v>3</v>
      </c>
      <c r="BI385" s="961">
        <v>3</v>
      </c>
      <c r="BJ385" s="961">
        <v>3</v>
      </c>
      <c r="BK385" s="915"/>
      <c r="BL385" s="915"/>
    </row>
    <row r="386" spans="1:80" x14ac:dyDescent="0.3">
      <c r="A386" s="947">
        <v>965</v>
      </c>
      <c r="B386" s="947"/>
      <c r="C386" s="947" t="s">
        <v>1067</v>
      </c>
      <c r="D386" s="947" t="s">
        <v>591</v>
      </c>
      <c r="E386" s="947"/>
      <c r="F386" s="958">
        <v>1</v>
      </c>
      <c r="G386" s="959">
        <v>1</v>
      </c>
      <c r="H386" s="959">
        <v>1</v>
      </c>
      <c r="I386" s="959">
        <v>1</v>
      </c>
      <c r="J386" s="959">
        <v>1</v>
      </c>
      <c r="K386" s="959">
        <v>1</v>
      </c>
      <c r="L386" s="960">
        <v>1</v>
      </c>
      <c r="M386" s="961">
        <v>1</v>
      </c>
      <c r="N386" s="961">
        <v>1</v>
      </c>
      <c r="O386" s="962">
        <v>1</v>
      </c>
      <c r="P386" s="962">
        <v>1</v>
      </c>
      <c r="Q386" s="962">
        <v>1</v>
      </c>
      <c r="R386" s="962">
        <v>1</v>
      </c>
      <c r="S386" s="962">
        <v>1</v>
      </c>
      <c r="T386" s="962">
        <v>1</v>
      </c>
      <c r="U386" s="962">
        <v>1</v>
      </c>
      <c r="V386" s="962">
        <v>1</v>
      </c>
      <c r="W386" s="962">
        <v>1</v>
      </c>
      <c r="X386" s="962">
        <v>1</v>
      </c>
      <c r="Y386" s="962">
        <v>1</v>
      </c>
      <c r="Z386" s="962">
        <v>1</v>
      </c>
      <c r="AA386" s="962">
        <v>1</v>
      </c>
      <c r="AB386" s="962">
        <v>1</v>
      </c>
      <c r="AC386" s="962">
        <v>1</v>
      </c>
      <c r="AD386" s="961">
        <v>1</v>
      </c>
      <c r="AE386" s="961">
        <v>1</v>
      </c>
      <c r="AF386" s="961">
        <v>1</v>
      </c>
      <c r="AG386" s="961">
        <v>1</v>
      </c>
      <c r="AH386" s="961">
        <v>1</v>
      </c>
      <c r="AI386" s="961">
        <v>1</v>
      </c>
      <c r="AJ386" s="961">
        <v>1</v>
      </c>
      <c r="AK386" s="961">
        <v>1</v>
      </c>
      <c r="AL386" s="961">
        <v>1</v>
      </c>
      <c r="AM386" s="961">
        <v>1</v>
      </c>
      <c r="AN386" s="961">
        <v>1</v>
      </c>
      <c r="AO386" s="961">
        <v>1</v>
      </c>
      <c r="AP386" s="961">
        <v>1</v>
      </c>
      <c r="AQ386" s="961">
        <v>1</v>
      </c>
      <c r="AR386" s="961">
        <v>1</v>
      </c>
      <c r="AS386" s="961">
        <v>1</v>
      </c>
      <c r="AT386" s="961">
        <v>1</v>
      </c>
      <c r="AU386" s="961">
        <v>1</v>
      </c>
      <c r="AV386" s="961">
        <v>1</v>
      </c>
      <c r="AW386" s="961">
        <v>1</v>
      </c>
      <c r="AX386" s="961">
        <v>1</v>
      </c>
      <c r="AY386" s="961">
        <v>1</v>
      </c>
      <c r="AZ386" s="961">
        <v>1</v>
      </c>
      <c r="BA386" s="961">
        <v>1</v>
      </c>
      <c r="BB386" s="961">
        <v>1</v>
      </c>
      <c r="BC386" s="961">
        <v>1</v>
      </c>
      <c r="BD386" s="961">
        <v>1</v>
      </c>
      <c r="BE386" s="961">
        <v>1</v>
      </c>
      <c r="BF386" s="961">
        <v>1</v>
      </c>
      <c r="BG386" s="961">
        <v>1</v>
      </c>
      <c r="BH386" s="961">
        <v>1</v>
      </c>
      <c r="BI386" s="961">
        <v>1</v>
      </c>
      <c r="BJ386" s="961">
        <v>1</v>
      </c>
      <c r="BK386" s="915"/>
      <c r="BL386" s="915"/>
    </row>
    <row r="387" spans="1:80" x14ac:dyDescent="0.3">
      <c r="A387" s="947">
        <v>603</v>
      </c>
      <c r="B387" s="947"/>
      <c r="C387" s="947" t="s">
        <v>1068</v>
      </c>
      <c r="D387" s="947" t="s">
        <v>596</v>
      </c>
      <c r="E387" s="947"/>
      <c r="F387" s="958">
        <v>0</v>
      </c>
      <c r="G387" s="959">
        <v>0</v>
      </c>
      <c r="H387" s="959">
        <v>2</v>
      </c>
      <c r="I387" s="959">
        <v>0</v>
      </c>
      <c r="J387" s="959">
        <v>0</v>
      </c>
      <c r="K387" s="959">
        <v>0</v>
      </c>
      <c r="L387" s="960">
        <v>0</v>
      </c>
      <c r="M387" s="961">
        <v>0</v>
      </c>
      <c r="N387" s="961">
        <v>0</v>
      </c>
      <c r="O387" s="962">
        <v>0</v>
      </c>
      <c r="P387" s="962">
        <v>0</v>
      </c>
      <c r="Q387" s="962">
        <v>0</v>
      </c>
      <c r="R387" s="962">
        <v>0</v>
      </c>
      <c r="S387" s="962">
        <v>0</v>
      </c>
      <c r="T387" s="962">
        <v>0</v>
      </c>
      <c r="U387" s="962">
        <v>0</v>
      </c>
      <c r="V387" s="962">
        <v>2</v>
      </c>
      <c r="W387" s="962">
        <v>0</v>
      </c>
      <c r="X387" s="962">
        <v>0</v>
      </c>
      <c r="Y387" s="962">
        <v>0</v>
      </c>
      <c r="Z387" s="962">
        <v>0</v>
      </c>
      <c r="AA387" s="962">
        <v>0</v>
      </c>
      <c r="AB387" s="962">
        <v>0</v>
      </c>
      <c r="AC387" s="962">
        <v>0</v>
      </c>
      <c r="AD387" s="961">
        <v>0</v>
      </c>
      <c r="AE387" s="961">
        <v>0</v>
      </c>
      <c r="AF387" s="961">
        <v>0</v>
      </c>
      <c r="AG387" s="961">
        <v>0</v>
      </c>
      <c r="AH387" s="961">
        <v>0</v>
      </c>
      <c r="AI387" s="961">
        <v>0</v>
      </c>
      <c r="AJ387" s="961">
        <v>1</v>
      </c>
      <c r="AK387" s="961">
        <v>0</v>
      </c>
      <c r="AL387" s="961">
        <v>0</v>
      </c>
      <c r="AM387" s="961">
        <v>0</v>
      </c>
      <c r="AN387" s="961">
        <v>0</v>
      </c>
      <c r="AO387" s="961">
        <v>7</v>
      </c>
      <c r="AP387" s="961">
        <v>0</v>
      </c>
      <c r="AQ387" s="961">
        <v>0</v>
      </c>
      <c r="AR387" s="961">
        <v>0</v>
      </c>
      <c r="AS387" s="961">
        <v>0</v>
      </c>
      <c r="AT387" s="961">
        <v>7</v>
      </c>
      <c r="AU387" s="961">
        <v>0</v>
      </c>
      <c r="AV387" s="961">
        <v>0</v>
      </c>
      <c r="AW387" s="961">
        <v>0</v>
      </c>
      <c r="AX387" s="961">
        <v>7</v>
      </c>
      <c r="AY387" s="961">
        <v>0</v>
      </c>
      <c r="AZ387" s="961">
        <v>4</v>
      </c>
      <c r="BA387" s="961">
        <v>7</v>
      </c>
      <c r="BB387" s="961">
        <v>0</v>
      </c>
      <c r="BC387" s="961">
        <v>7</v>
      </c>
      <c r="BD387" s="961">
        <v>0</v>
      </c>
      <c r="BE387" s="961">
        <v>0</v>
      </c>
      <c r="BF387" s="961">
        <v>0</v>
      </c>
      <c r="BG387" s="961">
        <v>0</v>
      </c>
      <c r="BH387" s="961">
        <v>7</v>
      </c>
      <c r="BI387" s="961">
        <v>0</v>
      </c>
      <c r="BJ387" s="961">
        <v>0</v>
      </c>
      <c r="BK387" s="915"/>
      <c r="BL387" s="915"/>
    </row>
    <row r="388" spans="1:80" x14ac:dyDescent="0.3">
      <c r="A388" s="947">
        <v>929</v>
      </c>
      <c r="B388" s="947"/>
      <c r="C388" s="947" t="s">
        <v>1068</v>
      </c>
      <c r="D388" s="947" t="s">
        <v>592</v>
      </c>
      <c r="E388" s="947"/>
      <c r="F388" s="958">
        <v>0</v>
      </c>
      <c r="G388" s="959">
        <v>0</v>
      </c>
      <c r="H388" s="959">
        <v>2</v>
      </c>
      <c r="I388" s="959">
        <v>0</v>
      </c>
      <c r="J388" s="959">
        <v>0</v>
      </c>
      <c r="K388" s="959">
        <v>0</v>
      </c>
      <c r="L388" s="960">
        <v>0</v>
      </c>
      <c r="M388" s="961">
        <v>0</v>
      </c>
      <c r="N388" s="961">
        <v>0</v>
      </c>
      <c r="O388" s="962">
        <v>0</v>
      </c>
      <c r="P388" s="962">
        <v>0</v>
      </c>
      <c r="Q388" s="962">
        <v>0</v>
      </c>
      <c r="R388" s="962">
        <v>0</v>
      </c>
      <c r="S388" s="962">
        <v>0</v>
      </c>
      <c r="T388" s="962">
        <v>0</v>
      </c>
      <c r="U388" s="962">
        <v>0</v>
      </c>
      <c r="V388" s="962">
        <v>2</v>
      </c>
      <c r="W388" s="962">
        <v>0</v>
      </c>
      <c r="X388" s="962">
        <v>2</v>
      </c>
      <c r="Y388" s="962">
        <v>0</v>
      </c>
      <c r="Z388" s="962">
        <v>0</v>
      </c>
      <c r="AA388" s="962">
        <v>0</v>
      </c>
      <c r="AB388" s="962">
        <v>0</v>
      </c>
      <c r="AC388" s="962">
        <v>0</v>
      </c>
      <c r="AD388" s="961">
        <v>0</v>
      </c>
      <c r="AE388" s="961">
        <v>0</v>
      </c>
      <c r="AF388" s="961">
        <v>0</v>
      </c>
      <c r="AG388" s="961">
        <v>0</v>
      </c>
      <c r="AH388" s="961">
        <v>0</v>
      </c>
      <c r="AI388" s="961">
        <v>0</v>
      </c>
      <c r="AJ388" s="961">
        <v>0</v>
      </c>
      <c r="AK388" s="961">
        <v>0</v>
      </c>
      <c r="AL388" s="961">
        <v>0</v>
      </c>
      <c r="AM388" s="961">
        <v>0</v>
      </c>
      <c r="AN388" s="961">
        <v>0</v>
      </c>
      <c r="AO388" s="961">
        <v>2</v>
      </c>
      <c r="AP388" s="961">
        <v>0</v>
      </c>
      <c r="AQ388" s="961">
        <v>0</v>
      </c>
      <c r="AR388" s="961">
        <v>0</v>
      </c>
      <c r="AS388" s="961">
        <v>0</v>
      </c>
      <c r="AT388" s="961">
        <v>2</v>
      </c>
      <c r="AU388" s="961">
        <v>0</v>
      </c>
      <c r="AV388" s="961">
        <v>0</v>
      </c>
      <c r="AW388" s="961">
        <v>0</v>
      </c>
      <c r="AX388" s="961">
        <v>2</v>
      </c>
      <c r="AY388" s="961">
        <v>0</v>
      </c>
      <c r="AZ388" s="961">
        <v>1</v>
      </c>
      <c r="BA388" s="961">
        <v>2</v>
      </c>
      <c r="BB388" s="961">
        <v>0</v>
      </c>
      <c r="BC388" s="961">
        <v>2</v>
      </c>
      <c r="BD388" s="961">
        <v>0</v>
      </c>
      <c r="BE388" s="961">
        <v>0</v>
      </c>
      <c r="BF388" s="961">
        <v>0</v>
      </c>
      <c r="BG388" s="961">
        <v>0</v>
      </c>
      <c r="BH388" s="961">
        <v>2</v>
      </c>
      <c r="BI388" s="961">
        <v>0</v>
      </c>
      <c r="BJ388" s="961">
        <v>0</v>
      </c>
      <c r="BK388" s="915"/>
      <c r="BL388" s="915"/>
    </row>
    <row r="389" spans="1:80" x14ac:dyDescent="0.3">
      <c r="A389" s="947">
        <v>930</v>
      </c>
      <c r="B389" s="947"/>
      <c r="C389" s="947" t="s">
        <v>1068</v>
      </c>
      <c r="D389" s="947" t="s">
        <v>593</v>
      </c>
      <c r="E389" s="947"/>
      <c r="F389" s="958">
        <v>0</v>
      </c>
      <c r="G389" s="959">
        <v>0</v>
      </c>
      <c r="H389" s="959">
        <v>2</v>
      </c>
      <c r="I389" s="959">
        <v>0</v>
      </c>
      <c r="J389" s="959">
        <v>0</v>
      </c>
      <c r="K389" s="959">
        <v>0</v>
      </c>
      <c r="L389" s="960">
        <v>0</v>
      </c>
      <c r="M389" s="961">
        <v>0</v>
      </c>
      <c r="N389" s="961">
        <v>0</v>
      </c>
      <c r="O389" s="962">
        <v>0</v>
      </c>
      <c r="P389" s="962">
        <v>0</v>
      </c>
      <c r="Q389" s="962">
        <v>0</v>
      </c>
      <c r="R389" s="962">
        <v>0</v>
      </c>
      <c r="S389" s="962">
        <v>0</v>
      </c>
      <c r="T389" s="962">
        <v>0</v>
      </c>
      <c r="U389" s="962">
        <v>0</v>
      </c>
      <c r="V389" s="962">
        <v>2</v>
      </c>
      <c r="W389" s="962">
        <v>0</v>
      </c>
      <c r="X389" s="962">
        <v>2</v>
      </c>
      <c r="Y389" s="962">
        <v>0</v>
      </c>
      <c r="Z389" s="962">
        <v>0</v>
      </c>
      <c r="AA389" s="962">
        <v>0</v>
      </c>
      <c r="AB389" s="962">
        <v>0</v>
      </c>
      <c r="AC389" s="962">
        <v>0</v>
      </c>
      <c r="AD389" s="961">
        <v>0</v>
      </c>
      <c r="AE389" s="961">
        <v>0</v>
      </c>
      <c r="AF389" s="961">
        <v>0</v>
      </c>
      <c r="AG389" s="961">
        <v>0</v>
      </c>
      <c r="AH389" s="961">
        <v>0</v>
      </c>
      <c r="AI389" s="961">
        <v>0</v>
      </c>
      <c r="AJ389" s="961">
        <v>0</v>
      </c>
      <c r="AK389" s="961">
        <v>0</v>
      </c>
      <c r="AL389" s="961">
        <v>0</v>
      </c>
      <c r="AM389" s="961">
        <v>0</v>
      </c>
      <c r="AN389" s="961">
        <v>0</v>
      </c>
      <c r="AO389" s="961">
        <v>2</v>
      </c>
      <c r="AP389" s="961">
        <v>0</v>
      </c>
      <c r="AQ389" s="961">
        <v>0</v>
      </c>
      <c r="AR389" s="961">
        <v>0</v>
      </c>
      <c r="AS389" s="961">
        <v>0</v>
      </c>
      <c r="AT389" s="961">
        <v>2</v>
      </c>
      <c r="AU389" s="961">
        <v>0</v>
      </c>
      <c r="AV389" s="961">
        <v>0</v>
      </c>
      <c r="AW389" s="961">
        <v>0</v>
      </c>
      <c r="AX389" s="961">
        <v>2</v>
      </c>
      <c r="AY389" s="961">
        <v>0</v>
      </c>
      <c r="AZ389" s="961">
        <v>2</v>
      </c>
      <c r="BA389" s="961">
        <v>2</v>
      </c>
      <c r="BB389" s="961">
        <v>0</v>
      </c>
      <c r="BC389" s="961">
        <v>2</v>
      </c>
      <c r="BD389" s="961">
        <v>0</v>
      </c>
      <c r="BE389" s="961">
        <v>0</v>
      </c>
      <c r="BF389" s="961">
        <v>0</v>
      </c>
      <c r="BG389" s="961">
        <v>0</v>
      </c>
      <c r="BH389" s="961">
        <v>2</v>
      </c>
      <c r="BI389" s="961">
        <v>0</v>
      </c>
      <c r="BJ389" s="961">
        <v>0</v>
      </c>
      <c r="BK389" s="915"/>
      <c r="BL389" s="915"/>
    </row>
    <row r="390" spans="1:80" x14ac:dyDescent="0.3">
      <c r="A390" s="947">
        <v>931</v>
      </c>
      <c r="B390" s="947"/>
      <c r="C390" s="947" t="s">
        <v>1068</v>
      </c>
      <c r="D390" s="947" t="s">
        <v>594</v>
      </c>
      <c r="E390" s="947"/>
      <c r="F390" s="958">
        <v>0</v>
      </c>
      <c r="G390" s="959">
        <v>0</v>
      </c>
      <c r="H390" s="959">
        <v>2</v>
      </c>
      <c r="I390" s="959">
        <v>0</v>
      </c>
      <c r="J390" s="959">
        <v>0</v>
      </c>
      <c r="K390" s="959">
        <v>0</v>
      </c>
      <c r="L390" s="960">
        <v>0</v>
      </c>
      <c r="M390" s="961">
        <v>0</v>
      </c>
      <c r="N390" s="961">
        <v>0</v>
      </c>
      <c r="O390" s="962">
        <v>0</v>
      </c>
      <c r="P390" s="962">
        <v>0</v>
      </c>
      <c r="Q390" s="962">
        <v>0</v>
      </c>
      <c r="R390" s="962">
        <v>0</v>
      </c>
      <c r="S390" s="962">
        <v>0</v>
      </c>
      <c r="T390" s="962">
        <v>0</v>
      </c>
      <c r="U390" s="962">
        <v>0</v>
      </c>
      <c r="V390" s="962">
        <v>2</v>
      </c>
      <c r="W390" s="962">
        <v>0</v>
      </c>
      <c r="X390" s="962">
        <v>1</v>
      </c>
      <c r="Y390" s="962">
        <v>0</v>
      </c>
      <c r="Z390" s="962">
        <v>0</v>
      </c>
      <c r="AA390" s="962">
        <v>0</v>
      </c>
      <c r="AB390" s="962">
        <v>0</v>
      </c>
      <c r="AC390" s="962">
        <v>0</v>
      </c>
      <c r="AD390" s="961">
        <v>0</v>
      </c>
      <c r="AE390" s="961">
        <v>0</v>
      </c>
      <c r="AF390" s="961">
        <v>0</v>
      </c>
      <c r="AG390" s="961">
        <v>0</v>
      </c>
      <c r="AH390" s="961">
        <v>0</v>
      </c>
      <c r="AI390" s="961">
        <v>0</v>
      </c>
      <c r="AJ390" s="961">
        <v>1</v>
      </c>
      <c r="AK390" s="961">
        <v>0</v>
      </c>
      <c r="AL390" s="961">
        <v>0</v>
      </c>
      <c r="AM390" s="961">
        <v>0</v>
      </c>
      <c r="AN390" s="961">
        <v>0</v>
      </c>
      <c r="AO390" s="961">
        <v>1</v>
      </c>
      <c r="AP390" s="961">
        <v>0</v>
      </c>
      <c r="AQ390" s="961">
        <v>0</v>
      </c>
      <c r="AR390" s="961">
        <v>0</v>
      </c>
      <c r="AS390" s="961">
        <v>0</v>
      </c>
      <c r="AT390" s="961">
        <v>1</v>
      </c>
      <c r="AU390" s="961">
        <v>0</v>
      </c>
      <c r="AV390" s="961">
        <v>0</v>
      </c>
      <c r="AW390" s="961">
        <v>0</v>
      </c>
      <c r="AX390" s="961">
        <v>1</v>
      </c>
      <c r="AY390" s="961">
        <v>0</v>
      </c>
      <c r="AZ390" s="961">
        <v>1</v>
      </c>
      <c r="BA390" s="961">
        <v>1</v>
      </c>
      <c r="BB390" s="961">
        <v>0</v>
      </c>
      <c r="BC390" s="961">
        <v>1</v>
      </c>
      <c r="BD390" s="961">
        <v>0</v>
      </c>
      <c r="BE390" s="961">
        <v>0</v>
      </c>
      <c r="BF390" s="961">
        <v>0</v>
      </c>
      <c r="BG390" s="961">
        <v>0</v>
      </c>
      <c r="BH390" s="961">
        <v>1</v>
      </c>
      <c r="BI390" s="961">
        <v>0</v>
      </c>
      <c r="BJ390" s="961">
        <v>0</v>
      </c>
      <c r="BK390" s="915"/>
      <c r="BL390" s="915"/>
    </row>
    <row r="391" spans="1:80" x14ac:dyDescent="0.3">
      <c r="A391" s="947">
        <v>932</v>
      </c>
      <c r="B391" s="947"/>
      <c r="C391" s="947" t="s">
        <v>1068</v>
      </c>
      <c r="D391" s="947" t="s">
        <v>595</v>
      </c>
      <c r="E391" s="947"/>
      <c r="F391" s="958">
        <v>0</v>
      </c>
      <c r="G391" s="959">
        <v>0</v>
      </c>
      <c r="H391" s="959">
        <v>2</v>
      </c>
      <c r="I391" s="959">
        <v>0</v>
      </c>
      <c r="J391" s="959">
        <v>0</v>
      </c>
      <c r="K391" s="959">
        <v>0</v>
      </c>
      <c r="L391" s="960">
        <v>0</v>
      </c>
      <c r="M391" s="961">
        <v>0</v>
      </c>
      <c r="N391" s="961">
        <v>0</v>
      </c>
      <c r="O391" s="962">
        <v>0</v>
      </c>
      <c r="P391" s="962">
        <v>0</v>
      </c>
      <c r="Q391" s="962">
        <v>0</v>
      </c>
      <c r="R391" s="962">
        <v>0</v>
      </c>
      <c r="S391" s="962">
        <v>0</v>
      </c>
      <c r="T391" s="962">
        <v>0</v>
      </c>
      <c r="U391" s="962">
        <v>0</v>
      </c>
      <c r="V391" s="962">
        <v>2</v>
      </c>
      <c r="W391" s="962">
        <v>0</v>
      </c>
      <c r="X391" s="962">
        <v>2</v>
      </c>
      <c r="Y391" s="962">
        <v>0</v>
      </c>
      <c r="Z391" s="962">
        <v>0</v>
      </c>
      <c r="AA391" s="962">
        <v>0</v>
      </c>
      <c r="AB391" s="962">
        <v>0</v>
      </c>
      <c r="AC391" s="962">
        <v>0</v>
      </c>
      <c r="AD391" s="961">
        <v>0</v>
      </c>
      <c r="AE391" s="961">
        <v>0</v>
      </c>
      <c r="AF391" s="961">
        <v>0</v>
      </c>
      <c r="AG391" s="961">
        <v>0</v>
      </c>
      <c r="AH391" s="961">
        <v>0</v>
      </c>
      <c r="AI391" s="961">
        <v>0</v>
      </c>
      <c r="AJ391" s="961">
        <v>0</v>
      </c>
      <c r="AK391" s="961">
        <v>0</v>
      </c>
      <c r="AL391" s="961">
        <v>0</v>
      </c>
      <c r="AM391" s="961">
        <v>0</v>
      </c>
      <c r="AN391" s="961">
        <v>0</v>
      </c>
      <c r="AO391" s="961">
        <v>2</v>
      </c>
      <c r="AP391" s="961">
        <v>0</v>
      </c>
      <c r="AQ391" s="961">
        <v>0</v>
      </c>
      <c r="AR391" s="961">
        <v>0</v>
      </c>
      <c r="AS391" s="961">
        <v>0</v>
      </c>
      <c r="AT391" s="961">
        <v>2</v>
      </c>
      <c r="AU391" s="961">
        <v>0</v>
      </c>
      <c r="AV391" s="961">
        <v>0</v>
      </c>
      <c r="AW391" s="961">
        <v>0</v>
      </c>
      <c r="AX391" s="961">
        <v>2</v>
      </c>
      <c r="AY391" s="961">
        <v>0</v>
      </c>
      <c r="AZ391" s="961">
        <v>2</v>
      </c>
      <c r="BA391" s="961">
        <v>2</v>
      </c>
      <c r="BB391" s="961">
        <v>0</v>
      </c>
      <c r="BC391" s="961">
        <v>2</v>
      </c>
      <c r="BD391" s="961">
        <v>0</v>
      </c>
      <c r="BE391" s="961">
        <v>0</v>
      </c>
      <c r="BF391" s="961">
        <v>0</v>
      </c>
      <c r="BG391" s="961">
        <v>0</v>
      </c>
      <c r="BH391" s="961">
        <v>2</v>
      </c>
      <c r="BI391" s="961">
        <v>0</v>
      </c>
      <c r="BJ391" s="961">
        <v>0</v>
      </c>
      <c r="BK391" s="915"/>
      <c r="BL391" s="915"/>
    </row>
    <row r="392" spans="1:80" x14ac:dyDescent="0.3">
      <c r="A392" s="1040"/>
      <c r="B392" s="1040"/>
      <c r="C392" s="1040"/>
      <c r="D392" s="1040"/>
      <c r="E392" s="1040"/>
      <c r="F392" s="1031">
        <v>78718827</v>
      </c>
      <c r="G392" s="1031">
        <v>143654173</v>
      </c>
      <c r="H392" s="1031">
        <v>141008876</v>
      </c>
      <c r="I392" s="1031">
        <v>48532251</v>
      </c>
      <c r="J392" s="1031">
        <v>155243997</v>
      </c>
      <c r="K392" s="1031">
        <v>69717776</v>
      </c>
      <c r="L392" s="1031">
        <v>41739913</v>
      </c>
      <c r="M392" s="1031">
        <v>58706352</v>
      </c>
      <c r="N392" s="1031">
        <v>108845385</v>
      </c>
      <c r="O392" s="1031">
        <v>36504797</v>
      </c>
      <c r="P392" s="1031">
        <v>65887614</v>
      </c>
      <c r="Q392" s="1031">
        <v>172761889</v>
      </c>
      <c r="R392" s="1031">
        <v>79762418</v>
      </c>
      <c r="S392" s="1031">
        <v>26920256</v>
      </c>
      <c r="T392" s="1031">
        <v>3982116</v>
      </c>
      <c r="U392" s="1031">
        <v>229676530</v>
      </c>
      <c r="V392" s="1031">
        <v>383782419</v>
      </c>
      <c r="W392" s="1031">
        <v>44218193</v>
      </c>
      <c r="X392" s="1031">
        <v>37102585</v>
      </c>
      <c r="Y392" s="1031">
        <v>382063018</v>
      </c>
      <c r="Z392" s="1031">
        <v>106344334</v>
      </c>
      <c r="AA392" s="1031">
        <v>27434913</v>
      </c>
      <c r="AB392" s="1031">
        <v>142705958</v>
      </c>
      <c r="AC392" s="1031">
        <v>31455260</v>
      </c>
      <c r="AD392" s="1031">
        <v>52911</v>
      </c>
      <c r="AE392" s="1031">
        <v>371382464</v>
      </c>
      <c r="AF392" s="1031">
        <v>38937017</v>
      </c>
      <c r="AG392" s="1031">
        <v>237884126</v>
      </c>
      <c r="AH392" s="1031">
        <v>120298277</v>
      </c>
      <c r="AI392" s="1031">
        <v>43118639</v>
      </c>
      <c r="AJ392" s="1031">
        <v>377436407</v>
      </c>
      <c r="AK392" s="1031">
        <v>183450799</v>
      </c>
      <c r="AL392" s="1031">
        <v>294499050</v>
      </c>
      <c r="AM392" s="1031">
        <v>127965282</v>
      </c>
      <c r="AN392" s="1031">
        <v>136396878</v>
      </c>
      <c r="AO392" s="1031">
        <v>106494057</v>
      </c>
      <c r="AP392" s="1031">
        <v>129527948</v>
      </c>
      <c r="AQ392" s="1031">
        <v>92652699</v>
      </c>
      <c r="AR392" s="1031">
        <v>121593573</v>
      </c>
      <c r="AS392" s="1031">
        <v>46524964</v>
      </c>
      <c r="AT392" s="1031">
        <v>48986697</v>
      </c>
      <c r="AU392" s="1031">
        <v>51462284</v>
      </c>
      <c r="AV392" s="1031">
        <v>16488932</v>
      </c>
      <c r="AW392" s="1031">
        <v>25140890</v>
      </c>
      <c r="AX392" s="1031">
        <v>104005778</v>
      </c>
      <c r="AY392" s="1031">
        <v>2221286471</v>
      </c>
      <c r="AZ392" s="1031">
        <v>39410682</v>
      </c>
      <c r="BA392" s="1031">
        <v>29878150</v>
      </c>
      <c r="BB392" s="1031">
        <v>69362140</v>
      </c>
      <c r="BC392" s="1031">
        <v>304081938</v>
      </c>
      <c r="BD392" s="1031">
        <v>18217555</v>
      </c>
      <c r="BE392" s="1031">
        <v>39599679</v>
      </c>
      <c r="BF392" s="1031">
        <v>143109728</v>
      </c>
      <c r="BG392" s="1031">
        <v>164902794</v>
      </c>
      <c r="BH392" s="1031">
        <v>773450682</v>
      </c>
      <c r="BI392" s="1031">
        <v>87017143</v>
      </c>
      <c r="BJ392" s="1031">
        <v>37858871</v>
      </c>
      <c r="BK392" s="925"/>
      <c r="BL392" s="925"/>
    </row>
    <row r="393" spans="1:80" x14ac:dyDescent="0.3">
      <c r="A393" s="947"/>
      <c r="B393" s="949"/>
      <c r="C393" s="947"/>
      <c r="D393" s="949"/>
      <c r="E393" s="949"/>
      <c r="F393" s="949"/>
      <c r="G393" s="947"/>
      <c r="H393" s="947"/>
      <c r="I393" s="947"/>
      <c r="J393" s="947"/>
      <c r="K393" s="947"/>
      <c r="L393" s="947"/>
      <c r="M393" s="949"/>
      <c r="N393" s="949"/>
      <c r="O393" s="949"/>
      <c r="P393" s="947"/>
      <c r="Q393" s="947"/>
      <c r="R393" s="947"/>
      <c r="S393" s="947"/>
      <c r="T393" s="947"/>
      <c r="U393" s="947"/>
      <c r="V393" s="947"/>
      <c r="W393" s="947"/>
      <c r="X393" s="947"/>
      <c r="Y393" s="947"/>
      <c r="Z393" s="947"/>
      <c r="AA393" s="947"/>
      <c r="AB393" s="947"/>
      <c r="AC393" s="947"/>
      <c r="AD393" s="947"/>
      <c r="AE393" s="947"/>
      <c r="AF393" s="947"/>
      <c r="AG393" s="947"/>
      <c r="AH393" s="947"/>
      <c r="AI393" s="947"/>
      <c r="AJ393" s="947"/>
      <c r="AK393" s="947"/>
      <c r="AL393" s="947"/>
      <c r="AM393" s="947"/>
      <c r="AN393" s="947"/>
      <c r="AO393" s="947"/>
      <c r="AP393" s="947"/>
      <c r="AQ393" s="947"/>
      <c r="AR393" s="947"/>
      <c r="AS393" s="947"/>
      <c r="AT393" s="947"/>
      <c r="AU393" s="947"/>
      <c r="AV393" s="947"/>
      <c r="AW393" s="947"/>
      <c r="AX393" s="947"/>
      <c r="AY393" s="947"/>
      <c r="AZ393" s="947"/>
      <c r="BA393" s="947"/>
      <c r="BB393" s="947"/>
      <c r="BC393" s="947"/>
      <c r="BD393" s="947"/>
      <c r="BE393" s="947"/>
      <c r="BF393" s="947"/>
      <c r="BG393" s="947"/>
      <c r="BH393" s="947"/>
      <c r="BI393" s="947"/>
      <c r="BJ393" s="947"/>
      <c r="BK393" s="903"/>
      <c r="BL393" s="903"/>
    </row>
    <row r="394" spans="1:80" x14ac:dyDescent="0.3">
      <c r="A394" s="1040"/>
      <c r="B394" s="1040"/>
      <c r="C394" s="1040"/>
      <c r="D394" s="1040" t="s">
        <v>1070</v>
      </c>
      <c r="E394" s="1040"/>
      <c r="F394" s="1041">
        <v>430109923</v>
      </c>
      <c r="G394" s="1041">
        <v>769357638</v>
      </c>
      <c r="H394" s="1041">
        <v>558165363</v>
      </c>
      <c r="I394" s="1041">
        <v>210365670</v>
      </c>
      <c r="J394" s="1041">
        <v>748246012</v>
      </c>
      <c r="K394" s="1041">
        <v>373787548</v>
      </c>
      <c r="L394" s="1041">
        <v>194350768</v>
      </c>
      <c r="M394" s="1041">
        <v>283759277.39999998</v>
      </c>
      <c r="N394" s="1041">
        <v>35080145380.400002</v>
      </c>
      <c r="O394" s="1041">
        <v>149462335</v>
      </c>
      <c r="P394" s="1041">
        <v>283170727</v>
      </c>
      <c r="Q394" s="1041">
        <v>1431249150</v>
      </c>
      <c r="R394" s="1041">
        <v>473296232</v>
      </c>
      <c r="S394" s="1041">
        <v>173638461</v>
      </c>
      <c r="T394" s="1041">
        <v>6921688</v>
      </c>
      <c r="U394" s="1041">
        <v>1029658851</v>
      </c>
      <c r="V394" s="1041">
        <v>2745520900</v>
      </c>
      <c r="W394" s="1041">
        <v>282555712</v>
      </c>
      <c r="X394" s="1041">
        <v>154980430</v>
      </c>
      <c r="Y394" s="1041">
        <v>2066301069</v>
      </c>
      <c r="Z394" s="1041">
        <v>770163376</v>
      </c>
      <c r="AA394" s="1041">
        <v>123027196.40000001</v>
      </c>
      <c r="AB394" s="1041">
        <v>849649440</v>
      </c>
      <c r="AC394" s="1041">
        <v>139323760</v>
      </c>
      <c r="AD394" s="1041">
        <v>296474618</v>
      </c>
      <c r="AE394" s="1041">
        <v>1625060193</v>
      </c>
      <c r="AF394" s="1041">
        <v>165785740</v>
      </c>
      <c r="AG394" s="1041">
        <v>1286017036.4000001</v>
      </c>
      <c r="AH394" s="1041">
        <v>464138392</v>
      </c>
      <c r="AI394" s="1041">
        <v>186597199</v>
      </c>
      <c r="AJ394" s="1041">
        <v>1517714291</v>
      </c>
      <c r="AK394" s="1041">
        <v>805573911</v>
      </c>
      <c r="AL394" s="1041">
        <v>1279574152</v>
      </c>
      <c r="AM394" s="1041">
        <v>632111355</v>
      </c>
      <c r="AN394" s="1041">
        <v>604073508</v>
      </c>
      <c r="AO394" s="1041">
        <v>505225422</v>
      </c>
      <c r="AP394" s="1041">
        <v>496290420</v>
      </c>
      <c r="AQ394" s="1041">
        <v>521087102</v>
      </c>
      <c r="AR394" s="1041">
        <v>598534599</v>
      </c>
      <c r="AS394" s="1041">
        <v>34728825925.400002</v>
      </c>
      <c r="AT394" s="1041">
        <v>208191837</v>
      </c>
      <c r="AU394" s="1041">
        <v>303898734</v>
      </c>
      <c r="AV394" s="1041">
        <v>58158004</v>
      </c>
      <c r="AW394" s="1041">
        <v>3534391420</v>
      </c>
      <c r="AX394" s="1041">
        <v>417928264</v>
      </c>
      <c r="AY394" s="1041">
        <v>19638949316</v>
      </c>
      <c r="AZ394" s="1041">
        <v>147363436</v>
      </c>
      <c r="BA394" s="1041">
        <v>127083658</v>
      </c>
      <c r="BB394" s="1041">
        <v>342487908</v>
      </c>
      <c r="BC394" s="1041">
        <v>1012589017</v>
      </c>
      <c r="BD394" s="1041">
        <v>69312779</v>
      </c>
      <c r="BE394" s="1041">
        <v>143649268</v>
      </c>
      <c r="BF394" s="1041">
        <v>32398439388.299999</v>
      </c>
      <c r="BG394" s="1041">
        <v>736542860</v>
      </c>
      <c r="BH394" s="1041">
        <v>4887613740</v>
      </c>
      <c r="BI394" s="1041">
        <v>342985850</v>
      </c>
      <c r="BJ394" s="1041">
        <v>180901515</v>
      </c>
      <c r="BK394" s="924"/>
      <c r="BL394" s="924"/>
    </row>
    <row r="395" spans="1:80" x14ac:dyDescent="0.3">
      <c r="A395" s="947"/>
      <c r="B395" s="949"/>
      <c r="C395" s="947"/>
      <c r="D395" s="947"/>
      <c r="E395" s="947"/>
      <c r="F395" s="947"/>
      <c r="G395" s="947"/>
      <c r="H395" s="947"/>
      <c r="I395" s="947"/>
      <c r="J395" s="947"/>
      <c r="K395" s="947"/>
      <c r="L395" s="947"/>
      <c r="M395" s="947"/>
      <c r="N395" s="947"/>
      <c r="O395" s="947"/>
      <c r="P395" s="947"/>
      <c r="Q395" s="947"/>
      <c r="R395" s="947"/>
      <c r="S395" s="947"/>
      <c r="T395" s="947"/>
      <c r="U395" s="947"/>
      <c r="V395" s="947"/>
      <c r="W395" s="947"/>
      <c r="X395" s="947"/>
      <c r="Y395" s="947"/>
      <c r="Z395" s="947"/>
      <c r="AA395" s="947"/>
      <c r="AB395" s="947"/>
      <c r="AC395" s="947"/>
      <c r="AD395" s="947"/>
      <c r="AE395" s="947"/>
      <c r="AF395" s="947"/>
      <c r="AG395" s="947"/>
      <c r="AH395" s="947"/>
      <c r="AI395" s="947"/>
      <c r="AJ395" s="947"/>
      <c r="AK395" s="947"/>
      <c r="AL395" s="947"/>
      <c r="AM395" s="947"/>
      <c r="AN395" s="947"/>
      <c r="AO395" s="947"/>
      <c r="AP395" s="947"/>
      <c r="AQ395" s="947"/>
      <c r="AR395" s="947"/>
      <c r="AS395" s="947"/>
      <c r="AT395" s="947"/>
      <c r="AU395" s="947"/>
      <c r="AV395" s="947"/>
      <c r="AW395" s="947"/>
      <c r="AX395" s="947"/>
      <c r="AY395" s="947"/>
      <c r="AZ395" s="947"/>
      <c r="BA395" s="947"/>
      <c r="BB395" s="947"/>
      <c r="BC395" s="947"/>
      <c r="BD395" s="947"/>
      <c r="BE395" s="947"/>
      <c r="BF395" s="947"/>
      <c r="BG395" s="947"/>
      <c r="BH395" s="947"/>
      <c r="BI395" s="947"/>
      <c r="BJ395" s="947"/>
      <c r="BK395" s="903"/>
      <c r="BL395" s="903"/>
    </row>
    <row r="396" spans="1:80" x14ac:dyDescent="0.3">
      <c r="A396" s="947"/>
      <c r="B396" s="949"/>
      <c r="C396" s="947"/>
      <c r="D396" s="947"/>
      <c r="E396" s="947"/>
      <c r="F396" s="947"/>
      <c r="G396" s="947"/>
      <c r="H396" s="947"/>
      <c r="I396" s="947"/>
      <c r="J396" s="947"/>
      <c r="K396" s="947"/>
      <c r="L396" s="947"/>
      <c r="M396" s="947"/>
      <c r="N396" s="947"/>
      <c r="O396" s="947"/>
      <c r="P396" s="947"/>
      <c r="Q396" s="947"/>
      <c r="R396" s="947"/>
      <c r="S396" s="947"/>
      <c r="T396" s="947"/>
      <c r="U396" s="947"/>
      <c r="V396" s="947"/>
      <c r="W396" s="947"/>
      <c r="X396" s="947"/>
      <c r="Y396" s="947"/>
      <c r="Z396" s="947"/>
      <c r="AA396" s="947"/>
      <c r="AB396" s="947"/>
      <c r="AC396" s="947"/>
      <c r="AD396" s="947"/>
      <c r="AE396" s="947"/>
      <c r="AF396" s="947"/>
      <c r="AG396" s="947"/>
      <c r="AH396" s="947"/>
      <c r="AI396" s="947"/>
      <c r="AJ396" s="947"/>
      <c r="AK396" s="947"/>
      <c r="AL396" s="947"/>
      <c r="AM396" s="947"/>
      <c r="AN396" s="947"/>
      <c r="AO396" s="947"/>
      <c r="AP396" s="947"/>
      <c r="AQ396" s="947"/>
      <c r="AR396" s="947"/>
      <c r="AS396" s="947"/>
      <c r="AT396" s="947"/>
      <c r="AU396" s="947"/>
      <c r="AV396" s="947"/>
      <c r="AW396" s="947"/>
      <c r="AX396" s="947"/>
      <c r="AY396" s="947"/>
      <c r="AZ396" s="947"/>
      <c r="BA396" s="947"/>
      <c r="BB396" s="947"/>
      <c r="BC396" s="947"/>
      <c r="BD396" s="947"/>
      <c r="BE396" s="947"/>
      <c r="BF396" s="947"/>
      <c r="BG396" s="947"/>
      <c r="BH396" s="947"/>
      <c r="BI396" s="947"/>
      <c r="BJ396" s="947"/>
      <c r="BK396" s="903"/>
      <c r="BL396" s="903"/>
      <c r="BM396" s="370"/>
      <c r="BN396" s="370"/>
      <c r="BO396" s="370"/>
      <c r="BP396" s="370"/>
      <c r="BQ396" s="370"/>
      <c r="BR396" s="370"/>
      <c r="BS396" s="370"/>
      <c r="BT396" s="370"/>
      <c r="BU396" s="370"/>
      <c r="BV396" s="370"/>
      <c r="BW396" s="370"/>
      <c r="BX396" s="370"/>
      <c r="BY396" s="370"/>
      <c r="BZ396" s="370"/>
      <c r="CA396" s="370"/>
      <c r="CB396" s="370"/>
    </row>
    <row r="397" spans="1:80" x14ac:dyDescent="0.3">
      <c r="A397" s="947"/>
      <c r="B397" s="949"/>
      <c r="C397" s="947"/>
      <c r="D397" s="947"/>
      <c r="E397" s="947"/>
      <c r="F397" s="947"/>
      <c r="G397" s="947"/>
      <c r="H397" s="947"/>
      <c r="I397" s="947"/>
      <c r="J397" s="947"/>
      <c r="K397" s="947"/>
      <c r="L397" s="947"/>
      <c r="M397" s="947"/>
      <c r="N397" s="947"/>
      <c r="O397" s="947"/>
      <c r="P397" s="947"/>
      <c r="Q397" s="947"/>
      <c r="R397" s="947"/>
      <c r="S397" s="947"/>
      <c r="T397" s="947"/>
      <c r="U397" s="947"/>
      <c r="V397" s="947"/>
      <c r="W397" s="947"/>
      <c r="X397" s="947"/>
      <c r="Y397" s="947"/>
      <c r="Z397" s="947"/>
      <c r="AA397" s="947"/>
      <c r="AB397" s="947"/>
      <c r="AC397" s="947"/>
      <c r="AD397" s="947"/>
      <c r="AE397" s="947"/>
      <c r="AF397" s="947"/>
      <c r="AG397" s="947"/>
      <c r="AH397" s="947"/>
      <c r="AI397" s="947"/>
      <c r="AJ397" s="947"/>
      <c r="AK397" s="947"/>
      <c r="AL397" s="947"/>
      <c r="AM397" s="947"/>
      <c r="AN397" s="947"/>
      <c r="AO397" s="947"/>
      <c r="AP397" s="947"/>
      <c r="AQ397" s="947"/>
      <c r="AR397" s="947"/>
      <c r="AS397" s="947"/>
      <c r="AT397" s="947"/>
      <c r="AU397" s="947"/>
      <c r="AV397" s="947"/>
      <c r="AW397" s="947"/>
      <c r="AX397" s="947"/>
      <c r="AY397" s="947"/>
      <c r="AZ397" s="947"/>
      <c r="BA397" s="947"/>
      <c r="BB397" s="947"/>
      <c r="BC397" s="947"/>
      <c r="BD397" s="947"/>
      <c r="BE397" s="947"/>
      <c r="BF397" s="947"/>
      <c r="BG397" s="947"/>
      <c r="BH397" s="947"/>
      <c r="BI397" s="947"/>
      <c r="BJ397" s="947"/>
      <c r="BK397" s="903"/>
      <c r="BL397" s="903"/>
      <c r="BM397" s="370"/>
      <c r="BN397" s="370"/>
      <c r="BO397" s="370"/>
      <c r="BP397" s="370"/>
      <c r="BQ397" s="370"/>
      <c r="BR397" s="370"/>
      <c r="BS397" s="370"/>
      <c r="BT397" s="370"/>
      <c r="BU397" s="370"/>
      <c r="BV397" s="370"/>
      <c r="BW397" s="370"/>
      <c r="BX397" s="370"/>
      <c r="BY397" s="370"/>
      <c r="BZ397" s="370"/>
      <c r="CA397" s="370"/>
      <c r="CB397" s="370"/>
    </row>
    <row r="398" spans="1:80" x14ac:dyDescent="0.3">
      <c r="A398" s="947"/>
      <c r="B398" s="949"/>
      <c r="C398" s="947"/>
      <c r="D398" s="947"/>
      <c r="E398" s="947"/>
      <c r="F398" s="947"/>
      <c r="G398" s="947"/>
      <c r="H398" s="947"/>
      <c r="I398" s="947"/>
      <c r="J398" s="947"/>
      <c r="K398" s="947"/>
      <c r="L398" s="947"/>
      <c r="M398" s="947"/>
      <c r="N398" s="947"/>
      <c r="O398" s="947"/>
      <c r="P398" s="947"/>
      <c r="Q398" s="947"/>
      <c r="R398" s="947"/>
      <c r="S398" s="947"/>
      <c r="T398" s="947"/>
      <c r="U398" s="947"/>
      <c r="V398" s="947"/>
      <c r="W398" s="947"/>
      <c r="X398" s="947"/>
      <c r="Y398" s="947"/>
      <c r="Z398" s="947"/>
      <c r="AA398" s="947"/>
      <c r="AB398" s="947"/>
      <c r="AC398" s="947"/>
      <c r="AD398" s="947"/>
      <c r="AE398" s="947"/>
      <c r="AF398" s="947"/>
      <c r="AG398" s="947"/>
      <c r="AH398" s="947"/>
      <c r="AI398" s="947"/>
      <c r="AJ398" s="947"/>
      <c r="AK398" s="947"/>
      <c r="AL398" s="947"/>
      <c r="AM398" s="947"/>
      <c r="AN398" s="947"/>
      <c r="AO398" s="947"/>
      <c r="AP398" s="947"/>
      <c r="AQ398" s="947"/>
      <c r="AR398" s="947"/>
      <c r="AS398" s="947"/>
      <c r="AT398" s="947"/>
      <c r="AU398" s="947"/>
      <c r="AV398" s="947"/>
      <c r="AW398" s="947"/>
      <c r="AX398" s="947"/>
      <c r="AY398" s="947"/>
      <c r="AZ398" s="947"/>
      <c r="BA398" s="947"/>
      <c r="BB398" s="947"/>
      <c r="BC398" s="947"/>
      <c r="BD398" s="947"/>
      <c r="BE398" s="947"/>
      <c r="BF398" s="947"/>
      <c r="BG398" s="947"/>
      <c r="BH398" s="947"/>
      <c r="BI398" s="947"/>
      <c r="BJ398" s="947"/>
      <c r="BK398" s="903"/>
      <c r="BL398" s="903"/>
      <c r="BM398" s="370"/>
      <c r="BN398" s="370"/>
      <c r="BO398" s="370"/>
      <c r="BP398" s="370"/>
      <c r="BQ398" s="370"/>
      <c r="BR398" s="370"/>
      <c r="BS398" s="370"/>
      <c r="BT398" s="370"/>
      <c r="BU398" s="370"/>
      <c r="BV398" s="370"/>
      <c r="BW398" s="370"/>
      <c r="BX398" s="370"/>
      <c r="BY398" s="370"/>
      <c r="BZ398" s="370"/>
      <c r="CA398" s="370"/>
      <c r="CB398" s="370"/>
    </row>
    <row r="399" spans="1:80" x14ac:dyDescent="0.3">
      <c r="A399" s="947"/>
      <c r="B399" s="949"/>
      <c r="C399" s="947"/>
      <c r="D399" s="947"/>
      <c r="E399" s="947"/>
      <c r="F399" s="947"/>
      <c r="G399" s="947"/>
      <c r="H399" s="947"/>
      <c r="I399" s="947"/>
      <c r="J399" s="947"/>
      <c r="K399" s="947"/>
      <c r="L399" s="947"/>
      <c r="M399" s="947"/>
      <c r="N399" s="947"/>
      <c r="O399" s="947"/>
      <c r="P399" s="947"/>
      <c r="Q399" s="947"/>
      <c r="R399" s="947"/>
      <c r="S399" s="947"/>
      <c r="T399" s="947"/>
      <c r="U399" s="947"/>
      <c r="V399" s="947"/>
      <c r="W399" s="947"/>
      <c r="X399" s="947"/>
      <c r="Y399" s="947"/>
      <c r="Z399" s="947"/>
      <c r="AA399" s="947"/>
      <c r="AB399" s="947"/>
      <c r="AC399" s="947"/>
      <c r="AD399" s="947"/>
      <c r="AE399" s="947"/>
      <c r="AF399" s="947"/>
      <c r="AG399" s="947"/>
      <c r="AH399" s="947"/>
      <c r="AI399" s="947"/>
      <c r="AJ399" s="947"/>
      <c r="AK399" s="947"/>
      <c r="AL399" s="947"/>
      <c r="AM399" s="947"/>
      <c r="AN399" s="947"/>
      <c r="AO399" s="947"/>
      <c r="AP399" s="947"/>
      <c r="AQ399" s="947"/>
      <c r="AR399" s="947"/>
      <c r="AS399" s="947"/>
      <c r="AT399" s="947"/>
      <c r="AU399" s="947"/>
      <c r="AV399" s="947"/>
      <c r="AW399" s="947"/>
      <c r="AX399" s="947"/>
      <c r="AY399" s="947"/>
      <c r="AZ399" s="947"/>
      <c r="BA399" s="947"/>
      <c r="BB399" s="947"/>
      <c r="BC399" s="947"/>
      <c r="BD399" s="947"/>
      <c r="BE399" s="947"/>
      <c r="BF399" s="947"/>
      <c r="BG399" s="947"/>
      <c r="BH399" s="947"/>
      <c r="BI399" s="947"/>
      <c r="BJ399" s="947"/>
      <c r="BK399" s="903"/>
      <c r="BL399" s="903"/>
    </row>
    <row r="400" spans="1:80" x14ac:dyDescent="0.3">
      <c r="A400" s="947"/>
      <c r="B400" s="949" t="s">
        <v>1168</v>
      </c>
      <c r="C400" s="947"/>
      <c r="D400" s="947"/>
      <c r="E400" s="947"/>
      <c r="F400" s="947"/>
      <c r="G400" s="947"/>
      <c r="H400" s="947"/>
      <c r="I400" s="947"/>
      <c r="J400" s="947"/>
      <c r="K400" s="947"/>
      <c r="L400" s="947"/>
      <c r="M400" s="947"/>
      <c r="N400" s="947"/>
      <c r="O400" s="947"/>
      <c r="P400" s="947"/>
      <c r="Q400" s="947"/>
      <c r="R400" s="947"/>
      <c r="S400" s="947"/>
      <c r="T400" s="947"/>
      <c r="U400" s="947"/>
      <c r="V400" s="947"/>
      <c r="W400" s="947"/>
      <c r="X400" s="947"/>
      <c r="Y400" s="947"/>
      <c r="Z400" s="947"/>
      <c r="AA400" s="947"/>
      <c r="AB400" s="947"/>
      <c r="AC400" s="947"/>
      <c r="AD400" s="947"/>
      <c r="AE400" s="947"/>
      <c r="AF400" s="947"/>
      <c r="AG400" s="947"/>
      <c r="AH400" s="947"/>
      <c r="AI400" s="947"/>
      <c r="AJ400" s="947"/>
      <c r="AK400" s="947"/>
      <c r="AL400" s="947"/>
      <c r="AM400" s="947"/>
      <c r="AN400" s="947"/>
      <c r="AO400" s="947"/>
      <c r="AP400" s="947"/>
      <c r="AQ400" s="947"/>
      <c r="AR400" s="947"/>
      <c r="AS400" s="947"/>
      <c r="AT400" s="947"/>
      <c r="AU400" s="947"/>
      <c r="AV400" s="947"/>
      <c r="AW400" s="947"/>
      <c r="AX400" s="947"/>
      <c r="AY400" s="947"/>
      <c r="AZ400" s="947"/>
      <c r="BA400" s="947"/>
      <c r="BB400" s="947"/>
      <c r="BC400" s="947"/>
      <c r="BD400" s="947"/>
      <c r="BE400" s="947"/>
      <c r="BF400" s="947"/>
      <c r="BG400" s="947"/>
      <c r="BH400" s="947"/>
      <c r="BI400" s="947"/>
      <c r="BJ400" s="947"/>
      <c r="BK400" s="903"/>
      <c r="BL400" s="903"/>
    </row>
    <row r="401" spans="2:2" x14ac:dyDescent="0.3">
      <c r="B401" s="1017">
        <v>947</v>
      </c>
    </row>
    <row r="402" spans="2:2" x14ac:dyDescent="0.3">
      <c r="B402" s="1017">
        <v>948</v>
      </c>
    </row>
    <row r="403" spans="2:2" x14ac:dyDescent="0.3">
      <c r="B403" s="1017">
        <v>949</v>
      </c>
    </row>
    <row r="404" spans="2:2" x14ac:dyDescent="0.3">
      <c r="B404" s="1017">
        <v>950</v>
      </c>
    </row>
    <row r="405" spans="2:2" x14ac:dyDescent="0.3">
      <c r="B405" s="1017">
        <v>952</v>
      </c>
    </row>
    <row r="406" spans="2:2" x14ac:dyDescent="0.3">
      <c r="B406" s="1017">
        <v>954</v>
      </c>
    </row>
    <row r="407" spans="2:2" x14ac:dyDescent="0.3">
      <c r="B407" s="1017">
        <v>956</v>
      </c>
    </row>
    <row r="408" spans="2:2" x14ac:dyDescent="0.3">
      <c r="B408" s="1017">
        <v>958</v>
      </c>
    </row>
    <row r="409" spans="2:2" x14ac:dyDescent="0.3">
      <c r="B409" s="1017">
        <v>960</v>
      </c>
    </row>
    <row r="410" spans="2:2" x14ac:dyDescent="0.3">
      <c r="B410" s="1017">
        <v>962</v>
      </c>
    </row>
    <row r="411" spans="2:2" x14ac:dyDescent="0.3">
      <c r="B411" s="1017">
        <v>964</v>
      </c>
    </row>
    <row r="412" spans="2:2" x14ac:dyDescent="0.3">
      <c r="B412" s="1017">
        <v>966</v>
      </c>
    </row>
    <row r="413" spans="2:2" x14ac:dyDescent="0.3">
      <c r="B413" s="1017">
        <v>968</v>
      </c>
    </row>
    <row r="414" spans="2:2" x14ac:dyDescent="0.3">
      <c r="B414" s="1015"/>
    </row>
    <row r="415" spans="2:2" x14ac:dyDescent="0.3">
      <c r="B415" s="1015"/>
    </row>
    <row r="416" spans="2:2" x14ac:dyDescent="0.3">
      <c r="B416" s="1015"/>
    </row>
    <row r="417" spans="2:2" x14ac:dyDescent="0.3">
      <c r="B417" s="1015"/>
    </row>
    <row r="418" spans="2:2" x14ac:dyDescent="0.3">
      <c r="B418" s="1015"/>
    </row>
    <row r="419" spans="2:2" x14ac:dyDescent="0.3">
      <c r="B419" s="1015"/>
    </row>
    <row r="420" spans="2:2" x14ac:dyDescent="0.3">
      <c r="B420" s="1017"/>
    </row>
    <row r="421" spans="2:2" x14ac:dyDescent="0.3">
      <c r="B421" s="947"/>
    </row>
    <row r="422" spans="2:2" x14ac:dyDescent="0.3">
      <c r="B422" s="947"/>
    </row>
    <row r="423" spans="2:2" x14ac:dyDescent="0.3">
      <c r="B423" s="947"/>
    </row>
    <row r="424" spans="2:2" x14ac:dyDescent="0.3">
      <c r="B424" s="947"/>
    </row>
    <row r="425" spans="2:2" x14ac:dyDescent="0.3">
      <c r="B425" s="947"/>
    </row>
    <row r="426" spans="2:2" x14ac:dyDescent="0.3">
      <c r="B426" s="947"/>
    </row>
    <row r="427" spans="2:2" x14ac:dyDescent="0.3">
      <c r="B427" s="947"/>
    </row>
    <row r="428" spans="2:2" x14ac:dyDescent="0.3">
      <c r="B428" s="947"/>
    </row>
    <row r="429" spans="2:2" x14ac:dyDescent="0.3">
      <c r="B429" s="947"/>
    </row>
    <row r="430" spans="2:2" x14ac:dyDescent="0.3">
      <c r="B430" s="947"/>
    </row>
    <row r="431" spans="2:2" x14ac:dyDescent="0.3">
      <c r="B431" s="947"/>
    </row>
    <row r="432" spans="2:2" x14ac:dyDescent="0.3">
      <c r="B432" s="947"/>
    </row>
    <row r="433" spans="2:2" x14ac:dyDescent="0.3">
      <c r="B433" s="912"/>
    </row>
    <row r="436" spans="2:2" x14ac:dyDescent="0.3">
      <c r="B436" s="926"/>
    </row>
    <row r="449" spans="1:2" x14ac:dyDescent="0.3">
      <c r="B449" s="949"/>
    </row>
    <row r="450" spans="1:2" x14ac:dyDescent="0.3">
      <c r="B450" s="949"/>
    </row>
    <row r="451" spans="1:2" x14ac:dyDescent="0.3">
      <c r="B451" s="949"/>
    </row>
    <row r="452" spans="1:2" x14ac:dyDescent="0.3">
      <c r="B452" s="949"/>
    </row>
    <row r="453" spans="1:2" x14ac:dyDescent="0.3">
      <c r="B453" s="949"/>
    </row>
    <row r="454" spans="1:2" x14ac:dyDescent="0.3">
      <c r="B454" s="949"/>
    </row>
    <row r="455" spans="1:2" x14ac:dyDescent="0.3">
      <c r="B455" s="949"/>
    </row>
    <row r="456" spans="1:2" x14ac:dyDescent="0.3">
      <c r="B456" s="949"/>
    </row>
    <row r="457" spans="1:2" x14ac:dyDescent="0.3">
      <c r="B457" s="949"/>
    </row>
    <row r="458" spans="1:2" x14ac:dyDescent="0.3">
      <c r="B458" s="949"/>
    </row>
    <row r="459" spans="1:2" x14ac:dyDescent="0.3">
      <c r="B459" s="949"/>
    </row>
    <row r="460" spans="1:2" x14ac:dyDescent="0.3">
      <c r="B460" s="1019"/>
    </row>
    <row r="461" spans="1:2" x14ac:dyDescent="0.3">
      <c r="B461" s="949"/>
    </row>
    <row r="462" spans="1:2" x14ac:dyDescent="0.3">
      <c r="B462" s="949"/>
    </row>
    <row r="463" spans="1:2" x14ac:dyDescent="0.3">
      <c r="A463" s="916"/>
      <c r="B463" s="949"/>
    </row>
    <row r="464" spans="1:2" x14ac:dyDescent="0.3">
      <c r="A464" s="916"/>
      <c r="B464" s="949"/>
    </row>
    <row r="465" spans="1:2" x14ac:dyDescent="0.3">
      <c r="A465" s="916"/>
      <c r="B465" s="949"/>
    </row>
    <row r="466" spans="1:2" x14ac:dyDescent="0.3">
      <c r="A466" s="916"/>
      <c r="B466" s="949"/>
    </row>
    <row r="467" spans="1:2" x14ac:dyDescent="0.3">
      <c r="A467" s="916"/>
      <c r="B467" s="1016"/>
    </row>
    <row r="468" spans="1:2" x14ac:dyDescent="0.3">
      <c r="A468" s="916"/>
      <c r="B468" s="1016"/>
    </row>
    <row r="469" spans="1:2" x14ac:dyDescent="0.3">
      <c r="A469" s="916"/>
      <c r="B469" s="1016"/>
    </row>
    <row r="470" spans="1:2" x14ac:dyDescent="0.3">
      <c r="A470" s="916"/>
      <c r="B470" s="1016"/>
    </row>
    <row r="471" spans="1:2" x14ac:dyDescent="0.3">
      <c r="A471" s="916"/>
      <c r="B471" s="1016"/>
    </row>
    <row r="472" spans="1:2" x14ac:dyDescent="0.3">
      <c r="A472" s="916"/>
      <c r="B472" s="1016"/>
    </row>
    <row r="473" spans="1:2" x14ac:dyDescent="0.3">
      <c r="A473" s="916"/>
      <c r="B473" s="1016"/>
    </row>
    <row r="474" spans="1:2" x14ac:dyDescent="0.3">
      <c r="A474" s="916"/>
      <c r="B474" s="1016"/>
    </row>
    <row r="475" spans="1:2" x14ac:dyDescent="0.3">
      <c r="A475" s="916"/>
      <c r="B475" s="1016"/>
    </row>
    <row r="476" spans="1:2" x14ac:dyDescent="0.3">
      <c r="A476" s="916"/>
      <c r="B476" s="1016"/>
    </row>
    <row r="477" spans="1:2" x14ac:dyDescent="0.3">
      <c r="A477" s="916"/>
      <c r="B477" s="1016"/>
    </row>
    <row r="478" spans="1:2" x14ac:dyDescent="0.3">
      <c r="A478" s="916"/>
      <c r="B478" s="1016"/>
    </row>
    <row r="479" spans="1:2" x14ac:dyDescent="0.3">
      <c r="A479" s="916"/>
      <c r="B479" s="1016"/>
    </row>
    <row r="480" spans="1:2" x14ac:dyDescent="0.3">
      <c r="A480" s="916"/>
      <c r="B480" s="1016"/>
    </row>
    <row r="481" spans="2:2" x14ac:dyDescent="0.3">
      <c r="B481" s="1016"/>
    </row>
    <row r="482" spans="2:2" x14ac:dyDescent="0.3">
      <c r="B482" s="1016"/>
    </row>
    <row r="483" spans="2:2" x14ac:dyDescent="0.3">
      <c r="B483" s="1016"/>
    </row>
    <row r="484" spans="2:2" x14ac:dyDescent="0.3">
      <c r="B484" s="1016"/>
    </row>
    <row r="485" spans="2:2" x14ac:dyDescent="0.3">
      <c r="B485" s="1016"/>
    </row>
    <row r="486" spans="2:2" x14ac:dyDescent="0.3">
      <c r="B486" s="1016"/>
    </row>
    <row r="487" spans="2:2" x14ac:dyDescent="0.3">
      <c r="B487" s="1016"/>
    </row>
    <row r="488" spans="2:2" x14ac:dyDescent="0.3">
      <c r="B488" s="1016"/>
    </row>
    <row r="489" spans="2:2" x14ac:dyDescent="0.3">
      <c r="B489" s="1016"/>
    </row>
    <row r="490" spans="2:2" x14ac:dyDescent="0.3">
      <c r="B490" s="1016"/>
    </row>
    <row r="491" spans="2:2" x14ac:dyDescent="0.3">
      <c r="B491" s="1016"/>
    </row>
    <row r="492" spans="2:2" x14ac:dyDescent="0.3">
      <c r="B492" s="1016"/>
    </row>
    <row r="493" spans="2:2" x14ac:dyDescent="0.3">
      <c r="B493" s="1016"/>
    </row>
    <row r="494" spans="2:2" x14ac:dyDescent="0.3">
      <c r="B494" s="1016"/>
    </row>
    <row r="495" spans="2:2" x14ac:dyDescent="0.3">
      <c r="B495" s="1016"/>
    </row>
    <row r="496" spans="2:2" x14ac:dyDescent="0.3">
      <c r="B496" s="1016"/>
    </row>
    <row r="497" spans="2:2" x14ac:dyDescent="0.3">
      <c r="B497" s="1016"/>
    </row>
    <row r="498" spans="2:2" x14ac:dyDescent="0.3">
      <c r="B498" s="1016"/>
    </row>
    <row r="499" spans="2:2" x14ac:dyDescent="0.3">
      <c r="B499" s="1016"/>
    </row>
    <row r="500" spans="2:2" x14ac:dyDescent="0.3">
      <c r="B500" s="1016"/>
    </row>
    <row r="501" spans="2:2" x14ac:dyDescent="0.3">
      <c r="B501" s="1016"/>
    </row>
    <row r="502" spans="2:2" x14ac:dyDescent="0.3">
      <c r="B502" s="1016"/>
    </row>
    <row r="503" spans="2:2" x14ac:dyDescent="0.3">
      <c r="B503" s="1016"/>
    </row>
    <row r="504" spans="2:2" x14ac:dyDescent="0.3">
      <c r="B504" s="1016"/>
    </row>
    <row r="505" spans="2:2" x14ac:dyDescent="0.3">
      <c r="B505" s="1016"/>
    </row>
    <row r="506" spans="2:2" x14ac:dyDescent="0.3">
      <c r="B506" s="1016"/>
    </row>
    <row r="507" spans="2:2" x14ac:dyDescent="0.3">
      <c r="B507" s="1016"/>
    </row>
    <row r="508" spans="2:2" x14ac:dyDescent="0.3">
      <c r="B508" s="1016"/>
    </row>
    <row r="509" spans="2:2" x14ac:dyDescent="0.3">
      <c r="B509" s="1016"/>
    </row>
    <row r="510" spans="2:2" x14ac:dyDescent="0.3">
      <c r="B510" s="951"/>
    </row>
    <row r="511" spans="2:2" x14ac:dyDescent="0.3">
      <c r="B511" s="951"/>
    </row>
    <row r="512" spans="2:2" x14ac:dyDescent="0.3">
      <c r="B512" s="1016"/>
    </row>
    <row r="513" spans="2:2" x14ac:dyDescent="0.3">
      <c r="B513" s="1016"/>
    </row>
    <row r="514" spans="2:2" x14ac:dyDescent="0.3">
      <c r="B514" s="1016"/>
    </row>
    <row r="515" spans="2:2" x14ac:dyDescent="0.3">
      <c r="B515" s="1016"/>
    </row>
    <row r="516" spans="2:2" x14ac:dyDescent="0.3">
      <c r="B516" s="1016"/>
    </row>
    <row r="517" spans="2:2" x14ac:dyDescent="0.3">
      <c r="B517" s="1016"/>
    </row>
    <row r="518" spans="2:2" x14ac:dyDescent="0.3">
      <c r="B518" s="1016"/>
    </row>
    <row r="519" spans="2:2" x14ac:dyDescent="0.3">
      <c r="B519" s="1016"/>
    </row>
    <row r="520" spans="2:2" x14ac:dyDescent="0.3">
      <c r="B520" s="1016"/>
    </row>
    <row r="521" spans="2:2" x14ac:dyDescent="0.3">
      <c r="B521" s="1016"/>
    </row>
    <row r="522" spans="2:2" x14ac:dyDescent="0.3">
      <c r="B522" s="1016"/>
    </row>
    <row r="523" spans="2:2" x14ac:dyDescent="0.3">
      <c r="B523" s="1016"/>
    </row>
    <row r="524" spans="2:2" x14ac:dyDescent="0.3">
      <c r="B524" s="1016"/>
    </row>
    <row r="525" spans="2:2" x14ac:dyDescent="0.3">
      <c r="B525" s="1016"/>
    </row>
    <row r="526" spans="2:2" x14ac:dyDescent="0.3">
      <c r="B526" s="1018"/>
    </row>
    <row r="527" spans="2:2" x14ac:dyDescent="0.3">
      <c r="B527" s="1018"/>
    </row>
    <row r="528" spans="2:2" x14ac:dyDescent="0.3">
      <c r="B528" s="951"/>
    </row>
    <row r="529" spans="2:2" x14ac:dyDescent="0.3">
      <c r="B529" s="949"/>
    </row>
    <row r="530" spans="2:2" x14ac:dyDescent="0.3">
      <c r="B530" s="949"/>
    </row>
    <row r="531" spans="2:2" x14ac:dyDescent="0.3">
      <c r="B531" s="949"/>
    </row>
    <row r="532" spans="2:2" x14ac:dyDescent="0.3">
      <c r="B532" s="949"/>
    </row>
    <row r="533" spans="2:2" x14ac:dyDescent="0.3">
      <c r="B533" s="949"/>
    </row>
    <row r="534" spans="2:2" x14ac:dyDescent="0.3">
      <c r="B534" s="949"/>
    </row>
    <row r="535" spans="2:2" x14ac:dyDescent="0.3">
      <c r="B535" s="949"/>
    </row>
    <row r="536" spans="2:2" x14ac:dyDescent="0.3">
      <c r="B536" s="949"/>
    </row>
    <row r="537" spans="2:2" x14ac:dyDescent="0.3">
      <c r="B537" s="949"/>
    </row>
    <row r="538" spans="2:2" x14ac:dyDescent="0.3">
      <c r="B538" s="949"/>
    </row>
    <row r="539" spans="2:2" x14ac:dyDescent="0.3">
      <c r="B539" s="949"/>
    </row>
    <row r="540" spans="2:2" x14ac:dyDescent="0.3">
      <c r="B540" s="949"/>
    </row>
    <row r="541" spans="2:2" x14ac:dyDescent="0.3">
      <c r="B541" s="949"/>
    </row>
    <row r="542" spans="2:2" x14ac:dyDescent="0.3">
      <c r="B542" s="949"/>
    </row>
    <row r="543" spans="2:2" x14ac:dyDescent="0.3">
      <c r="B543" s="949"/>
    </row>
    <row r="544" spans="2:2" x14ac:dyDescent="0.3">
      <c r="B544" s="949"/>
    </row>
    <row r="545" spans="2:2" x14ac:dyDescent="0.3">
      <c r="B545" s="949"/>
    </row>
    <row r="546" spans="2:2" x14ac:dyDescent="0.3">
      <c r="B546" s="949"/>
    </row>
    <row r="547" spans="2:2" x14ac:dyDescent="0.3">
      <c r="B547" s="949"/>
    </row>
    <row r="566" spans="2:2" x14ac:dyDescent="0.3">
      <c r="B566" s="918"/>
    </row>
    <row r="567" spans="2:2" x14ac:dyDescent="0.3">
      <c r="B567" s="918"/>
    </row>
    <row r="568" spans="2:2" x14ac:dyDescent="0.3">
      <c r="B568" s="918"/>
    </row>
    <row r="569" spans="2:2" x14ac:dyDescent="0.3">
      <c r="B569" s="918"/>
    </row>
    <row r="570" spans="2:2" x14ac:dyDescent="0.3">
      <c r="B570" s="918"/>
    </row>
    <row r="571" spans="2:2" x14ac:dyDescent="0.3">
      <c r="B571" s="918"/>
    </row>
    <row r="572" spans="2:2" x14ac:dyDescent="0.3">
      <c r="B572" s="918"/>
    </row>
    <row r="573" spans="2:2" x14ac:dyDescent="0.3">
      <c r="B573" s="918"/>
    </row>
    <row r="574" spans="2:2" x14ac:dyDescent="0.3">
      <c r="B574" s="918"/>
    </row>
    <row r="575" spans="2:2" x14ac:dyDescent="0.3">
      <c r="B575" s="918"/>
    </row>
    <row r="576" spans="2:2" x14ac:dyDescent="0.3">
      <c r="B576" s="918"/>
    </row>
    <row r="577" spans="2:2" x14ac:dyDescent="0.3">
      <c r="B577" s="918"/>
    </row>
    <row r="578" spans="2:2" x14ac:dyDescent="0.3">
      <c r="B578" s="918"/>
    </row>
    <row r="579" spans="2:2" x14ac:dyDescent="0.3">
      <c r="B579" s="918"/>
    </row>
    <row r="580" spans="2:2" x14ac:dyDescent="0.3">
      <c r="B580" s="918"/>
    </row>
    <row r="581" spans="2:2" x14ac:dyDescent="0.3">
      <c r="B581" s="918"/>
    </row>
    <row r="582" spans="2:2" x14ac:dyDescent="0.3">
      <c r="B582" s="918"/>
    </row>
    <row r="583" spans="2:2" x14ac:dyDescent="0.3">
      <c r="B583" s="918"/>
    </row>
    <row r="584" spans="2:2" x14ac:dyDescent="0.3">
      <c r="B584" s="918"/>
    </row>
    <row r="585" spans="2:2" x14ac:dyDescent="0.3">
      <c r="B585" s="918"/>
    </row>
    <row r="586" spans="2:2" x14ac:dyDescent="0.3">
      <c r="B586" s="918"/>
    </row>
    <row r="587" spans="2:2" x14ac:dyDescent="0.3">
      <c r="B587" s="918"/>
    </row>
    <row r="588" spans="2:2" x14ac:dyDescent="0.3">
      <c r="B588" s="918"/>
    </row>
    <row r="589" spans="2:2" x14ac:dyDescent="0.3">
      <c r="B589" s="918"/>
    </row>
    <row r="590" spans="2:2" x14ac:dyDescent="0.3">
      <c r="B590" s="918"/>
    </row>
    <row r="591" spans="2:2" x14ac:dyDescent="0.3">
      <c r="B591" s="918"/>
    </row>
    <row r="592" spans="2:2" x14ac:dyDescent="0.3">
      <c r="B592" s="918"/>
    </row>
    <row r="593" spans="2:2" x14ac:dyDescent="0.3">
      <c r="B593" s="918"/>
    </row>
    <row r="594" spans="2:2" x14ac:dyDescent="0.3">
      <c r="B594" s="918"/>
    </row>
    <row r="595" spans="2:2" x14ac:dyDescent="0.3">
      <c r="B595" s="918"/>
    </row>
    <row r="596" spans="2:2" x14ac:dyDescent="0.3">
      <c r="B596" s="918"/>
    </row>
    <row r="597" spans="2:2" x14ac:dyDescent="0.3">
      <c r="B597" s="918"/>
    </row>
    <row r="598" spans="2:2" x14ac:dyDescent="0.3">
      <c r="B598" s="927"/>
    </row>
    <row r="599" spans="2:2" x14ac:dyDescent="0.3">
      <c r="B599" s="927"/>
    </row>
    <row r="600" spans="2:2" x14ac:dyDescent="0.3">
      <c r="B600" s="927"/>
    </row>
    <row r="601" spans="2:2" x14ac:dyDescent="0.3">
      <c r="B601" s="927"/>
    </row>
    <row r="602" spans="2:2" x14ac:dyDescent="0.3">
      <c r="B602" s="927"/>
    </row>
    <row r="603" spans="2:2" x14ac:dyDescent="0.3">
      <c r="B603" s="927"/>
    </row>
    <row r="604" spans="2:2" x14ac:dyDescent="0.3">
      <c r="B604" s="927"/>
    </row>
    <row r="605" spans="2:2" x14ac:dyDescent="0.3">
      <c r="B605" s="927"/>
    </row>
    <row r="606" spans="2:2" x14ac:dyDescent="0.3">
      <c r="B606" s="927"/>
    </row>
    <row r="607" spans="2:2" x14ac:dyDescent="0.3">
      <c r="B607" s="927"/>
    </row>
    <row r="608" spans="2:2" x14ac:dyDescent="0.3">
      <c r="B608" s="927"/>
    </row>
    <row r="609" spans="2:2" x14ac:dyDescent="0.3">
      <c r="B609" s="927"/>
    </row>
    <row r="610" spans="2:2" x14ac:dyDescent="0.3">
      <c r="B610" s="927"/>
    </row>
    <row r="611" spans="2:2" x14ac:dyDescent="0.3">
      <c r="B611" s="927"/>
    </row>
    <row r="612" spans="2:2" x14ac:dyDescent="0.3">
      <c r="B612" s="927"/>
    </row>
    <row r="613" spans="2:2" x14ac:dyDescent="0.3">
      <c r="B613" s="912"/>
    </row>
    <row r="614" spans="2:2" x14ac:dyDescent="0.3">
      <c r="B614" s="912"/>
    </row>
    <row r="642" spans="2:2" x14ac:dyDescent="0.3">
      <c r="B642" s="912"/>
    </row>
    <row r="643" spans="2:2" x14ac:dyDescent="0.3">
      <c r="B643" s="912"/>
    </row>
    <row r="644" spans="2:2" x14ac:dyDescent="0.3">
      <c r="B644" s="912"/>
    </row>
    <row r="645" spans="2:2" x14ac:dyDescent="0.3">
      <c r="B645" s="912"/>
    </row>
    <row r="646" spans="2:2" x14ac:dyDescent="0.3">
      <c r="B646" s="912"/>
    </row>
    <row r="647" spans="2:2" x14ac:dyDescent="0.3">
      <c r="B647" s="912"/>
    </row>
    <row r="648" spans="2:2" x14ac:dyDescent="0.3">
      <c r="B648" s="912"/>
    </row>
    <row r="649" spans="2:2" x14ac:dyDescent="0.3">
      <c r="B649" s="912"/>
    </row>
    <row r="650" spans="2:2" x14ac:dyDescent="0.3">
      <c r="B650" s="912"/>
    </row>
    <row r="651" spans="2:2" x14ac:dyDescent="0.3">
      <c r="B651" s="912"/>
    </row>
    <row r="652" spans="2:2" x14ac:dyDescent="0.3">
      <c r="B652" s="912"/>
    </row>
    <row r="653" spans="2:2" x14ac:dyDescent="0.3">
      <c r="B653" s="912"/>
    </row>
    <row r="654" spans="2:2" x14ac:dyDescent="0.3">
      <c r="B654" s="912"/>
    </row>
    <row r="655" spans="2:2" x14ac:dyDescent="0.3">
      <c r="B655" s="912"/>
    </row>
    <row r="656" spans="2:2" x14ac:dyDescent="0.3">
      <c r="B656" s="912"/>
    </row>
    <row r="657" spans="2:2" x14ac:dyDescent="0.3">
      <c r="B657" s="912"/>
    </row>
    <row r="658" spans="2:2" x14ac:dyDescent="0.3">
      <c r="B658" s="912"/>
    </row>
    <row r="659" spans="2:2" x14ac:dyDescent="0.3">
      <c r="B659" s="912"/>
    </row>
    <row r="660" spans="2:2" x14ac:dyDescent="0.3">
      <c r="B660" s="912"/>
    </row>
    <row r="661" spans="2:2" x14ac:dyDescent="0.3">
      <c r="B661" s="912"/>
    </row>
    <row r="662" spans="2:2" x14ac:dyDescent="0.3">
      <c r="B662" s="912"/>
    </row>
    <row r="663" spans="2:2" x14ac:dyDescent="0.3">
      <c r="B663" s="912"/>
    </row>
    <row r="664" spans="2:2" x14ac:dyDescent="0.3">
      <c r="B664" s="912"/>
    </row>
    <row r="665" spans="2:2" x14ac:dyDescent="0.3">
      <c r="B665" s="912"/>
    </row>
    <row r="666" spans="2:2" x14ac:dyDescent="0.3">
      <c r="B666" s="912"/>
    </row>
    <row r="667" spans="2:2" x14ac:dyDescent="0.3">
      <c r="B667" s="912"/>
    </row>
    <row r="668" spans="2:2" x14ac:dyDescent="0.3">
      <c r="B668" s="912"/>
    </row>
    <row r="669" spans="2:2" x14ac:dyDescent="0.3">
      <c r="B669" s="912"/>
    </row>
    <row r="670" spans="2:2" x14ac:dyDescent="0.3">
      <c r="B670" s="912"/>
    </row>
    <row r="671" spans="2:2" x14ac:dyDescent="0.3">
      <c r="B671" s="912"/>
    </row>
    <row r="672" spans="2:2" x14ac:dyDescent="0.3">
      <c r="B672" s="912"/>
    </row>
    <row r="673" spans="2:2" x14ac:dyDescent="0.3">
      <c r="B673" s="912"/>
    </row>
    <row r="674" spans="2:2" x14ac:dyDescent="0.3">
      <c r="B674" s="912"/>
    </row>
    <row r="675" spans="2:2" x14ac:dyDescent="0.3">
      <c r="B675" s="912"/>
    </row>
    <row r="676" spans="2:2" x14ac:dyDescent="0.3">
      <c r="B676" s="912"/>
    </row>
    <row r="677" spans="2:2" x14ac:dyDescent="0.3">
      <c r="B677" s="912"/>
    </row>
    <row r="678" spans="2:2" x14ac:dyDescent="0.3">
      <c r="B678" s="912"/>
    </row>
    <row r="679" spans="2:2" x14ac:dyDescent="0.3">
      <c r="B679" s="912"/>
    </row>
    <row r="680" spans="2:2" x14ac:dyDescent="0.3">
      <c r="B680" s="912"/>
    </row>
    <row r="681" spans="2:2" x14ac:dyDescent="0.3">
      <c r="B681" s="912"/>
    </row>
    <row r="682" spans="2:2" x14ac:dyDescent="0.3">
      <c r="B682" s="912"/>
    </row>
    <row r="683" spans="2:2" x14ac:dyDescent="0.3">
      <c r="B683" s="912"/>
    </row>
    <row r="684" spans="2:2" x14ac:dyDescent="0.3">
      <c r="B684" s="912"/>
    </row>
    <row r="685" spans="2:2" x14ac:dyDescent="0.3">
      <c r="B685" s="912"/>
    </row>
    <row r="686" spans="2:2" x14ac:dyDescent="0.3">
      <c r="B686" s="912"/>
    </row>
    <row r="687" spans="2:2" x14ac:dyDescent="0.3">
      <c r="B687" s="912"/>
    </row>
    <row r="688" spans="2:2" x14ac:dyDescent="0.3">
      <c r="B688" s="912"/>
    </row>
    <row r="689" spans="2:2" x14ac:dyDescent="0.3">
      <c r="B689" s="912"/>
    </row>
    <row r="690" spans="2:2" x14ac:dyDescent="0.3">
      <c r="B690" s="912"/>
    </row>
    <row r="691" spans="2:2" x14ac:dyDescent="0.3">
      <c r="B691" s="912"/>
    </row>
    <row r="692" spans="2:2" x14ac:dyDescent="0.3">
      <c r="B692" s="912"/>
    </row>
    <row r="693" spans="2:2" x14ac:dyDescent="0.3">
      <c r="B693" s="912"/>
    </row>
    <row r="694" spans="2:2" x14ac:dyDescent="0.3">
      <c r="B694" s="912"/>
    </row>
    <row r="695" spans="2:2" x14ac:dyDescent="0.3">
      <c r="B695" s="912"/>
    </row>
    <row r="696" spans="2:2" x14ac:dyDescent="0.3">
      <c r="B696" s="912"/>
    </row>
    <row r="697" spans="2:2" x14ac:dyDescent="0.3">
      <c r="B697" s="912"/>
    </row>
    <row r="698" spans="2:2" x14ac:dyDescent="0.3">
      <c r="B698" s="912"/>
    </row>
    <row r="699" spans="2:2" x14ac:dyDescent="0.3">
      <c r="B699" s="912"/>
    </row>
    <row r="700" spans="2:2" x14ac:dyDescent="0.3">
      <c r="B700" s="912"/>
    </row>
    <row r="701" spans="2:2" x14ac:dyDescent="0.3">
      <c r="B701" s="912"/>
    </row>
    <row r="702" spans="2:2" x14ac:dyDescent="0.3">
      <c r="B702" s="912"/>
    </row>
    <row r="703" spans="2:2" x14ac:dyDescent="0.3">
      <c r="B703" s="912"/>
    </row>
    <row r="706" spans="2:2" x14ac:dyDescent="0.3">
      <c r="B706" s="926"/>
    </row>
    <row r="707" spans="2:2" x14ac:dyDescent="0.3">
      <c r="B707" s="926"/>
    </row>
    <row r="708" spans="2:2" x14ac:dyDescent="0.3">
      <c r="B708" s="926"/>
    </row>
    <row r="709" spans="2:2" x14ac:dyDescent="0.3">
      <c r="B709" s="926"/>
    </row>
    <row r="710" spans="2:2" x14ac:dyDescent="0.3">
      <c r="B710" s="926"/>
    </row>
    <row r="711" spans="2:2" x14ac:dyDescent="0.3">
      <c r="B711" s="926"/>
    </row>
    <row r="712" spans="2:2" x14ac:dyDescent="0.3">
      <c r="B712" s="926"/>
    </row>
    <row r="713" spans="2:2" x14ac:dyDescent="0.3">
      <c r="B713" s="926"/>
    </row>
    <row r="714" spans="2:2" x14ac:dyDescent="0.3">
      <c r="B714" s="926"/>
    </row>
    <row r="715" spans="2:2" x14ac:dyDescent="0.3">
      <c r="B715" s="926"/>
    </row>
    <row r="716" spans="2:2" x14ac:dyDescent="0.3">
      <c r="B716" s="926"/>
    </row>
    <row r="717" spans="2:2" x14ac:dyDescent="0.3">
      <c r="B717" s="926"/>
    </row>
    <row r="718" spans="2:2" x14ac:dyDescent="0.3">
      <c r="B718" s="926"/>
    </row>
    <row r="719" spans="2:2" x14ac:dyDescent="0.3">
      <c r="B719" s="926"/>
    </row>
    <row r="720" spans="2:2" x14ac:dyDescent="0.3">
      <c r="B720" s="926"/>
    </row>
    <row r="721" spans="2:2" x14ac:dyDescent="0.3">
      <c r="B721" s="926"/>
    </row>
    <row r="722" spans="2:2" x14ac:dyDescent="0.3">
      <c r="B722" s="926"/>
    </row>
    <row r="723" spans="2:2" x14ac:dyDescent="0.3">
      <c r="B723" s="926"/>
    </row>
    <row r="750" spans="2:2" x14ac:dyDescent="0.3">
      <c r="B750" s="912"/>
    </row>
    <row r="751" spans="2:2" x14ac:dyDescent="0.3">
      <c r="B751" s="912"/>
    </row>
    <row r="757" spans="2:2" x14ac:dyDescent="0.3">
      <c r="B757" s="912"/>
    </row>
    <row r="758" spans="2:2" x14ac:dyDescent="0.3">
      <c r="B758" s="912"/>
    </row>
    <row r="759" spans="2:2" x14ac:dyDescent="0.3">
      <c r="B759" s="912"/>
    </row>
    <row r="760" spans="2:2" x14ac:dyDescent="0.3">
      <c r="B760" s="912"/>
    </row>
    <row r="761" spans="2:2" x14ac:dyDescent="0.3">
      <c r="B761" s="912"/>
    </row>
    <row r="762" spans="2:2" x14ac:dyDescent="0.3">
      <c r="B762" s="912"/>
    </row>
    <row r="763" spans="2:2" x14ac:dyDescent="0.3">
      <c r="B763" s="912"/>
    </row>
    <row r="764" spans="2:2" x14ac:dyDescent="0.3">
      <c r="B764" s="912"/>
    </row>
    <row r="765" spans="2:2" x14ac:dyDescent="0.3">
      <c r="B765" s="912"/>
    </row>
    <row r="766" spans="2:2" x14ac:dyDescent="0.3">
      <c r="B766" s="912"/>
    </row>
    <row r="767" spans="2:2" x14ac:dyDescent="0.3">
      <c r="B767" s="912"/>
    </row>
    <row r="768" spans="2:2" x14ac:dyDescent="0.3">
      <c r="B768" s="912"/>
    </row>
    <row r="769" spans="2:2" x14ac:dyDescent="0.3">
      <c r="B769" s="912"/>
    </row>
    <row r="770" spans="2:2" x14ac:dyDescent="0.3">
      <c r="B770" s="912"/>
    </row>
    <row r="771" spans="2:2" x14ac:dyDescent="0.3">
      <c r="B771" s="912"/>
    </row>
    <row r="772" spans="2:2" x14ac:dyDescent="0.3">
      <c r="B772" s="912"/>
    </row>
    <row r="773" spans="2:2" x14ac:dyDescent="0.3">
      <c r="B773" s="912"/>
    </row>
    <row r="774" spans="2:2" x14ac:dyDescent="0.3">
      <c r="B774" s="912"/>
    </row>
    <row r="775" spans="2:2" x14ac:dyDescent="0.3">
      <c r="B775" s="912"/>
    </row>
    <row r="776" spans="2:2" x14ac:dyDescent="0.3">
      <c r="B776" s="912"/>
    </row>
    <row r="777" spans="2:2" x14ac:dyDescent="0.3">
      <c r="B777" s="912"/>
    </row>
    <row r="778" spans="2:2" x14ac:dyDescent="0.3">
      <c r="B778" s="912"/>
    </row>
    <row r="779" spans="2:2" x14ac:dyDescent="0.3">
      <c r="B779" s="912"/>
    </row>
    <row r="780" spans="2:2" x14ac:dyDescent="0.3">
      <c r="B780" s="912"/>
    </row>
    <row r="781" spans="2:2" x14ac:dyDescent="0.3">
      <c r="B781" s="912"/>
    </row>
    <row r="782" spans="2:2" x14ac:dyDescent="0.3">
      <c r="B782" s="912"/>
    </row>
    <row r="783" spans="2:2" x14ac:dyDescent="0.3">
      <c r="B783" s="912"/>
    </row>
    <row r="784" spans="2:2" x14ac:dyDescent="0.3">
      <c r="B784" s="912"/>
    </row>
    <row r="785" spans="2:2" x14ac:dyDescent="0.3">
      <c r="B785" s="912"/>
    </row>
    <row r="786" spans="2:2" x14ac:dyDescent="0.3">
      <c r="B786" s="912"/>
    </row>
    <row r="787" spans="2:2" x14ac:dyDescent="0.3">
      <c r="B787" s="912"/>
    </row>
    <row r="788" spans="2:2" x14ac:dyDescent="0.3">
      <c r="B788" s="912"/>
    </row>
    <row r="789" spans="2:2" x14ac:dyDescent="0.3">
      <c r="B789" s="912"/>
    </row>
    <row r="790" spans="2:2" x14ac:dyDescent="0.3">
      <c r="B790" s="912"/>
    </row>
    <row r="792" spans="2:2" x14ac:dyDescent="0.3">
      <c r="B792" s="912"/>
    </row>
    <row r="793" spans="2:2" x14ac:dyDescent="0.3">
      <c r="B793" s="912"/>
    </row>
    <row r="795" spans="2:2" x14ac:dyDescent="0.3">
      <c r="B795" s="912"/>
    </row>
    <row r="796" spans="2:2" x14ac:dyDescent="0.3">
      <c r="B796" s="912"/>
    </row>
    <row r="798" spans="2:2" x14ac:dyDescent="0.3">
      <c r="B798" s="912"/>
    </row>
    <row r="808" spans="2:2" x14ac:dyDescent="0.3">
      <c r="B808" s="912"/>
    </row>
    <row r="809" spans="2:2" x14ac:dyDescent="0.3">
      <c r="B809" s="912"/>
    </row>
    <row r="810" spans="2:2" x14ac:dyDescent="0.3">
      <c r="B810" s="912"/>
    </row>
    <row r="811" spans="2:2" x14ac:dyDescent="0.3">
      <c r="B811" s="912"/>
    </row>
    <row r="812" spans="2:2" x14ac:dyDescent="0.3">
      <c r="B812" s="912"/>
    </row>
    <row r="813" spans="2:2" x14ac:dyDescent="0.3">
      <c r="B813" s="912"/>
    </row>
    <row r="814" spans="2:2" x14ac:dyDescent="0.3">
      <c r="B814" s="912"/>
    </row>
    <row r="815" spans="2:2" x14ac:dyDescent="0.3">
      <c r="B815" s="912"/>
    </row>
    <row r="816" spans="2:2" x14ac:dyDescent="0.3">
      <c r="B816" s="912"/>
    </row>
    <row r="817" spans="2:2" x14ac:dyDescent="0.3">
      <c r="B817" s="912"/>
    </row>
    <row r="818" spans="2:2" x14ac:dyDescent="0.3">
      <c r="B818" s="912"/>
    </row>
    <row r="819" spans="2:2" x14ac:dyDescent="0.3">
      <c r="B819" s="912"/>
    </row>
    <row r="820" spans="2:2" x14ac:dyDescent="0.3">
      <c r="B820" s="912"/>
    </row>
    <row r="821" spans="2:2" x14ac:dyDescent="0.3">
      <c r="B821" s="912"/>
    </row>
    <row r="822" spans="2:2" x14ac:dyDescent="0.3">
      <c r="B822" s="912"/>
    </row>
    <row r="823" spans="2:2" x14ac:dyDescent="0.3">
      <c r="B823" s="912"/>
    </row>
    <row r="824" spans="2:2" x14ac:dyDescent="0.3">
      <c r="B824" s="912"/>
    </row>
    <row r="825" spans="2:2" x14ac:dyDescent="0.3">
      <c r="B825" s="912"/>
    </row>
    <row r="826" spans="2:2" x14ac:dyDescent="0.3">
      <c r="B826" s="912"/>
    </row>
    <row r="829" spans="2:2" x14ac:dyDescent="0.3">
      <c r="B829" s="912"/>
    </row>
    <row r="830" spans="2:2" x14ac:dyDescent="0.3">
      <c r="B830" s="912"/>
    </row>
    <row r="835" spans="2:2" x14ac:dyDescent="0.3">
      <c r="B835" s="912"/>
    </row>
    <row r="836" spans="2:2" x14ac:dyDescent="0.3">
      <c r="B836" s="912"/>
    </row>
    <row r="837" spans="2:2" x14ac:dyDescent="0.3">
      <c r="B837" s="912"/>
    </row>
    <row r="838" spans="2:2" x14ac:dyDescent="0.3">
      <c r="B838" s="912"/>
    </row>
    <row r="839" spans="2:2" x14ac:dyDescent="0.3">
      <c r="B839" s="912"/>
    </row>
    <row r="840" spans="2:2" x14ac:dyDescent="0.3">
      <c r="B840" s="912"/>
    </row>
    <row r="841" spans="2:2" x14ac:dyDescent="0.3">
      <c r="B841" s="912"/>
    </row>
    <row r="843" spans="2:2" x14ac:dyDescent="0.3">
      <c r="B843" s="912"/>
    </row>
    <row r="844" spans="2:2" x14ac:dyDescent="0.3">
      <c r="B844" s="912"/>
    </row>
    <row r="845" spans="2:2" x14ac:dyDescent="0.3">
      <c r="B845" s="912"/>
    </row>
    <row r="846" spans="2:2" x14ac:dyDescent="0.3">
      <c r="B846" s="912"/>
    </row>
    <row r="847" spans="2:2" x14ac:dyDescent="0.3">
      <c r="B847" s="912"/>
    </row>
    <row r="848" spans="2:2" x14ac:dyDescent="0.3">
      <c r="B848" s="912"/>
    </row>
    <row r="853" spans="2:2" x14ac:dyDescent="0.3">
      <c r="B853" s="912"/>
    </row>
    <row r="869" spans="2:2" x14ac:dyDescent="0.3">
      <c r="B869" s="912"/>
    </row>
    <row r="870" spans="2:2" x14ac:dyDescent="0.3">
      <c r="B870" s="912"/>
    </row>
    <row r="871" spans="2:2" x14ac:dyDescent="0.3">
      <c r="B871" s="912"/>
    </row>
    <row r="872" spans="2:2" x14ac:dyDescent="0.3">
      <c r="B872" s="912"/>
    </row>
    <row r="873" spans="2:2" x14ac:dyDescent="0.3">
      <c r="B873" s="912"/>
    </row>
    <row r="874" spans="2:2" x14ac:dyDescent="0.3">
      <c r="B874" s="912"/>
    </row>
    <row r="877" spans="2:2" x14ac:dyDescent="0.3">
      <c r="B877" s="912"/>
    </row>
    <row r="887" spans="2:2" x14ac:dyDescent="0.3">
      <c r="B887" s="912"/>
    </row>
    <row r="895" spans="2:2" x14ac:dyDescent="0.3">
      <c r="B895" s="912"/>
    </row>
    <row r="896" spans="2:2" x14ac:dyDescent="0.3">
      <c r="B896" s="912"/>
    </row>
    <row r="897" spans="2:2" x14ac:dyDescent="0.3">
      <c r="B897" s="912"/>
    </row>
    <row r="898" spans="2:2" x14ac:dyDescent="0.3">
      <c r="B898" s="912"/>
    </row>
    <row r="906" spans="2:2" x14ac:dyDescent="0.3">
      <c r="B906" s="912"/>
    </row>
    <row r="907" spans="2:2" x14ac:dyDescent="0.3">
      <c r="B907" s="912"/>
    </row>
    <row r="908" spans="2:2" x14ac:dyDescent="0.3">
      <c r="B908" s="912"/>
    </row>
    <row r="909" spans="2:2" x14ac:dyDescent="0.3">
      <c r="B909" s="912"/>
    </row>
    <row r="910" spans="2:2" x14ac:dyDescent="0.3">
      <c r="B910" s="912"/>
    </row>
    <row r="911" spans="2:2" x14ac:dyDescent="0.3">
      <c r="B911" s="912"/>
    </row>
    <row r="912" spans="2:2" x14ac:dyDescent="0.3">
      <c r="B912" s="912"/>
    </row>
    <row r="913" spans="2:2" x14ac:dyDescent="0.3">
      <c r="B913" s="912"/>
    </row>
    <row r="914" spans="2:2" x14ac:dyDescent="0.3">
      <c r="B914" s="912"/>
    </row>
    <row r="915" spans="2:2" x14ac:dyDescent="0.3">
      <c r="B915" s="912"/>
    </row>
    <row r="916" spans="2:2" x14ac:dyDescent="0.3">
      <c r="B916" s="912"/>
    </row>
    <row r="917" spans="2:2" x14ac:dyDescent="0.3">
      <c r="B917" s="912"/>
    </row>
    <row r="923" spans="2:2" x14ac:dyDescent="0.3">
      <c r="B923" s="912"/>
    </row>
    <row r="924" spans="2:2" x14ac:dyDescent="0.3">
      <c r="B924" s="912"/>
    </row>
    <row r="925" spans="2:2" x14ac:dyDescent="0.3">
      <c r="B925" s="912"/>
    </row>
    <row r="926" spans="2:2" x14ac:dyDescent="0.3">
      <c r="B926" s="912"/>
    </row>
    <row r="927" spans="2:2" x14ac:dyDescent="0.3">
      <c r="B927" s="912"/>
    </row>
    <row r="928" spans="2:2" x14ac:dyDescent="0.3">
      <c r="B928" s="912"/>
    </row>
    <row r="929" spans="2:2" x14ac:dyDescent="0.3">
      <c r="B929" s="912"/>
    </row>
    <row r="932" spans="2:2" x14ac:dyDescent="0.3">
      <c r="B932" s="912"/>
    </row>
    <row r="935" spans="2:2" x14ac:dyDescent="0.3">
      <c r="B935" s="912"/>
    </row>
    <row r="936" spans="2:2" x14ac:dyDescent="0.3">
      <c r="B936" s="912"/>
    </row>
    <row r="937" spans="2:2" x14ac:dyDescent="0.3">
      <c r="B937" s="912"/>
    </row>
    <row r="938" spans="2:2" x14ac:dyDescent="0.3">
      <c r="B938" s="912"/>
    </row>
    <row r="939" spans="2:2" x14ac:dyDescent="0.3">
      <c r="B939" s="912"/>
    </row>
    <row r="940" spans="2:2" x14ac:dyDescent="0.3">
      <c r="B940" s="912"/>
    </row>
    <row r="941" spans="2:2" x14ac:dyDescent="0.3">
      <c r="B941" s="912"/>
    </row>
    <row r="942" spans="2:2" x14ac:dyDescent="0.3">
      <c r="B942" s="912"/>
    </row>
    <row r="943" spans="2:2" x14ac:dyDescent="0.3">
      <c r="B943" s="912"/>
    </row>
  </sheetData>
  <sheetProtection algorithmName="SHA-512" hashValue="AuI7d/bZEbAppt8Su8q2wAocIuJnzmwpfkQYaI6wEbY71NMcsDjIx+UsVmIiqM5LcG3YdxO0+dNMacjnlQpwkQ==" saltValue="CkfbN56IlwhP2rzftU1Z4w==" spinCount="100000" sheet="1" objects="1" scenarios="1"/>
  <printOptions headings="1" gridLines="1"/>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7"/>
  <sheetViews>
    <sheetView workbookViewId="0">
      <selection activeCell="A12" sqref="A12"/>
    </sheetView>
  </sheetViews>
  <sheetFormatPr defaultColWidth="9.109375" defaultRowHeight="14.4" x14ac:dyDescent="0.3"/>
  <cols>
    <col min="1" max="1" width="38.109375" style="546" customWidth="1"/>
    <col min="2" max="12" width="9.109375" style="546"/>
    <col min="13" max="13" width="28.44140625" style="455" customWidth="1"/>
    <col min="14" max="17" width="9.109375" style="546"/>
    <col min="18" max="18" width="19" style="546" customWidth="1"/>
    <col min="19" max="16384" width="9.109375" style="546"/>
  </cols>
  <sheetData>
    <row r="1" spans="1:21" x14ac:dyDescent="0.3">
      <c r="A1" s="546" t="s">
        <v>998</v>
      </c>
      <c r="M1" s="904" t="s">
        <v>1169</v>
      </c>
      <c r="N1" s="903"/>
      <c r="O1" s="903"/>
      <c r="P1" s="903"/>
      <c r="Q1" s="903"/>
      <c r="R1" s="903" t="s">
        <v>1170</v>
      </c>
    </row>
    <row r="2" spans="1:21" x14ac:dyDescent="0.3">
      <c r="A2" s="941" t="s">
        <v>1073</v>
      </c>
      <c r="B2" s="942">
        <v>52821</v>
      </c>
      <c r="C2" s="541"/>
      <c r="D2" s="56"/>
      <c r="E2" s="56"/>
      <c r="G2" s="546">
        <v>100</v>
      </c>
      <c r="I2" s="546" t="s">
        <v>369</v>
      </c>
      <c r="M2" s="905" t="s">
        <v>1073</v>
      </c>
      <c r="N2" s="907">
        <v>52821</v>
      </c>
      <c r="O2" s="903" t="b">
        <f>EXACT(A2,M2)</f>
        <v>1</v>
      </c>
      <c r="P2" s="903" t="b">
        <f>EXACT(B2,N2)</f>
        <v>1</v>
      </c>
      <c r="R2" s="903" t="s">
        <v>1073</v>
      </c>
      <c r="S2" s="903">
        <v>52821</v>
      </c>
      <c r="T2" s="903" t="b">
        <f>EXACT(M2,R2)</f>
        <v>1</v>
      </c>
      <c r="U2" s="903" t="b">
        <f>EXACT(N2,S2)</f>
        <v>1</v>
      </c>
    </row>
    <row r="3" spans="1:21" x14ac:dyDescent="0.3">
      <c r="A3" s="941" t="s">
        <v>1074</v>
      </c>
      <c r="B3" s="943">
        <v>52823</v>
      </c>
      <c r="C3" s="541"/>
      <c r="D3" s="55"/>
      <c r="E3" s="56"/>
      <c r="G3" s="546">
        <v>200</v>
      </c>
      <c r="I3" s="546" t="s">
        <v>370</v>
      </c>
      <c r="M3" s="905" t="s">
        <v>1074</v>
      </c>
      <c r="N3" s="908">
        <v>52823</v>
      </c>
      <c r="O3" s="903" t="b">
        <f t="shared" ref="O3:O58" si="0">EXACT(A3,M3)</f>
        <v>1</v>
      </c>
      <c r="P3" s="903" t="b">
        <f t="shared" ref="P3:P58" si="1">EXACT(B3,N3)</f>
        <v>1</v>
      </c>
      <c r="R3" s="903" t="s">
        <v>1074</v>
      </c>
      <c r="S3" s="903">
        <v>52823</v>
      </c>
      <c r="T3" s="903" t="b">
        <f t="shared" ref="T3:T58" si="2">EXACT(M3,R3)</f>
        <v>1</v>
      </c>
      <c r="U3" s="903" t="b">
        <f t="shared" ref="U3:U58" si="3">EXACT(N3,S3)</f>
        <v>1</v>
      </c>
    </row>
    <row r="4" spans="1:21" x14ac:dyDescent="0.3">
      <c r="A4" s="941" t="s">
        <v>1075</v>
      </c>
      <c r="B4" s="943">
        <v>52824</v>
      </c>
      <c r="C4" s="541"/>
      <c r="D4" s="55"/>
      <c r="E4" s="56"/>
      <c r="G4" s="546">
        <v>300</v>
      </c>
      <c r="I4" s="546" t="s">
        <v>371</v>
      </c>
      <c r="M4" s="905" t="s">
        <v>1075</v>
      </c>
      <c r="N4" s="908">
        <v>52824</v>
      </c>
      <c r="O4" s="903" t="b">
        <f t="shared" si="0"/>
        <v>1</v>
      </c>
      <c r="P4" s="903" t="b">
        <f t="shared" si="1"/>
        <v>1</v>
      </c>
      <c r="R4" s="903" t="s">
        <v>1075</v>
      </c>
      <c r="S4" s="903">
        <v>52824</v>
      </c>
      <c r="T4" s="903" t="b">
        <f t="shared" si="2"/>
        <v>1</v>
      </c>
      <c r="U4" s="903" t="b">
        <f t="shared" si="3"/>
        <v>1</v>
      </c>
    </row>
    <row r="5" spans="1:21" x14ac:dyDescent="0.3">
      <c r="A5" s="941" t="s">
        <v>1076</v>
      </c>
      <c r="B5" s="943">
        <v>52825</v>
      </c>
      <c r="C5" s="541"/>
      <c r="D5" s="55"/>
      <c r="E5" s="56"/>
      <c r="G5" s="546">
        <v>400</v>
      </c>
      <c r="M5" s="905" t="s">
        <v>1076</v>
      </c>
      <c r="N5" s="908">
        <v>52825</v>
      </c>
      <c r="O5" s="903" t="b">
        <f t="shared" si="0"/>
        <v>1</v>
      </c>
      <c r="P5" s="903" t="b">
        <f t="shared" si="1"/>
        <v>1</v>
      </c>
      <c r="R5" s="903" t="s">
        <v>1076</v>
      </c>
      <c r="S5" s="903">
        <v>52825</v>
      </c>
      <c r="T5" s="903" t="b">
        <f t="shared" si="2"/>
        <v>1</v>
      </c>
      <c r="U5" s="903" t="b">
        <f t="shared" si="3"/>
        <v>1</v>
      </c>
    </row>
    <row r="6" spans="1:21" x14ac:dyDescent="0.3">
      <c r="A6" s="941" t="s">
        <v>1077</v>
      </c>
      <c r="B6" s="943">
        <v>52826</v>
      </c>
      <c r="C6" s="541"/>
      <c r="D6" s="55"/>
      <c r="E6" s="56"/>
      <c r="G6" s="546">
        <v>500</v>
      </c>
      <c r="M6" s="905" t="s">
        <v>1077</v>
      </c>
      <c r="N6" s="908">
        <v>52826</v>
      </c>
      <c r="O6" s="903" t="b">
        <f t="shared" si="0"/>
        <v>1</v>
      </c>
      <c r="P6" s="903" t="b">
        <f t="shared" si="1"/>
        <v>1</v>
      </c>
      <c r="R6" s="903" t="s">
        <v>1077</v>
      </c>
      <c r="S6" s="903">
        <v>52826</v>
      </c>
      <c r="T6" s="903" t="b">
        <f t="shared" si="2"/>
        <v>1</v>
      </c>
      <c r="U6" s="903" t="b">
        <f t="shared" si="3"/>
        <v>1</v>
      </c>
    </row>
    <row r="7" spans="1:21" x14ac:dyDescent="0.3">
      <c r="A7" s="941" t="s">
        <v>1078</v>
      </c>
      <c r="B7" s="943">
        <v>52827</v>
      </c>
      <c r="C7" s="541"/>
      <c r="D7" s="55"/>
      <c r="E7" s="56"/>
      <c r="M7" s="905" t="s">
        <v>1078</v>
      </c>
      <c r="N7" s="908">
        <v>52827</v>
      </c>
      <c r="O7" s="903" t="b">
        <f t="shared" si="0"/>
        <v>1</v>
      </c>
      <c r="P7" s="903" t="b">
        <f t="shared" si="1"/>
        <v>1</v>
      </c>
      <c r="R7" s="903" t="s">
        <v>1078</v>
      </c>
      <c r="S7" s="903">
        <v>52827</v>
      </c>
      <c r="T7" s="903" t="b">
        <f t="shared" si="2"/>
        <v>1</v>
      </c>
      <c r="U7" s="903" t="b">
        <f t="shared" si="3"/>
        <v>1</v>
      </c>
    </row>
    <row r="8" spans="1:21" x14ac:dyDescent="0.3">
      <c r="A8" s="941" t="s">
        <v>1079</v>
      </c>
      <c r="B8" s="942">
        <v>52828</v>
      </c>
      <c r="C8" s="541"/>
      <c r="D8" s="55"/>
      <c r="E8" s="56"/>
      <c r="M8" s="905" t="s">
        <v>1079</v>
      </c>
      <c r="N8" s="907">
        <v>52828</v>
      </c>
      <c r="O8" s="903" t="b">
        <f t="shared" si="0"/>
        <v>1</v>
      </c>
      <c r="P8" s="903" t="b">
        <f t="shared" si="1"/>
        <v>1</v>
      </c>
      <c r="R8" s="903" t="s">
        <v>1079</v>
      </c>
      <c r="S8" s="903">
        <v>52828</v>
      </c>
      <c r="T8" s="903" t="b">
        <f t="shared" si="2"/>
        <v>1</v>
      </c>
      <c r="U8" s="903" t="b">
        <f t="shared" si="3"/>
        <v>1</v>
      </c>
    </row>
    <row r="9" spans="1:21" x14ac:dyDescent="0.3">
      <c r="A9" s="941" t="s">
        <v>1080</v>
      </c>
      <c r="B9" s="944">
        <v>52829</v>
      </c>
      <c r="C9" s="541"/>
      <c r="D9" s="55"/>
      <c r="E9" s="56"/>
      <c r="M9" s="905" t="s">
        <v>1080</v>
      </c>
      <c r="N9" s="906">
        <v>52829</v>
      </c>
      <c r="O9" s="903" t="b">
        <f t="shared" si="0"/>
        <v>1</v>
      </c>
      <c r="P9" s="903" t="b">
        <f t="shared" si="1"/>
        <v>1</v>
      </c>
      <c r="R9" s="903" t="s">
        <v>1080</v>
      </c>
      <c r="S9" s="903">
        <v>52829</v>
      </c>
      <c r="T9" s="903" t="b">
        <f t="shared" si="2"/>
        <v>1</v>
      </c>
      <c r="U9" s="903" t="b">
        <f t="shared" si="3"/>
        <v>1</v>
      </c>
    </row>
    <row r="10" spans="1:21" x14ac:dyDescent="0.3">
      <c r="A10" s="941" t="s">
        <v>1081</v>
      </c>
      <c r="B10" s="944">
        <v>52830</v>
      </c>
      <c r="C10" s="541"/>
      <c r="D10" s="55"/>
      <c r="E10" s="56"/>
      <c r="M10" s="905" t="s">
        <v>1081</v>
      </c>
      <c r="N10" s="909">
        <v>52830</v>
      </c>
      <c r="O10" s="903" t="b">
        <f t="shared" si="0"/>
        <v>1</v>
      </c>
      <c r="P10" s="903" t="b">
        <f t="shared" si="1"/>
        <v>1</v>
      </c>
      <c r="R10" s="903" t="s">
        <v>1081</v>
      </c>
      <c r="S10" s="903">
        <v>52830</v>
      </c>
      <c r="T10" s="903" t="b">
        <f t="shared" si="2"/>
        <v>1</v>
      </c>
      <c r="U10" s="903" t="b">
        <f t="shared" si="3"/>
        <v>1</v>
      </c>
    </row>
    <row r="11" spans="1:21" x14ac:dyDescent="0.3">
      <c r="A11" s="941" t="s">
        <v>1082</v>
      </c>
      <c r="B11" s="945">
        <v>52831</v>
      </c>
      <c r="C11" s="541"/>
      <c r="D11" s="55"/>
      <c r="E11" s="56"/>
      <c r="M11" s="905" t="s">
        <v>1082</v>
      </c>
      <c r="N11" s="910">
        <v>52831</v>
      </c>
      <c r="O11" s="903" t="b">
        <f t="shared" si="0"/>
        <v>1</v>
      </c>
      <c r="P11" s="903" t="b">
        <f t="shared" si="1"/>
        <v>1</v>
      </c>
      <c r="R11" s="903" t="s">
        <v>1082</v>
      </c>
      <c r="S11" s="903">
        <v>52831</v>
      </c>
      <c r="T11" s="903" t="b">
        <f t="shared" si="2"/>
        <v>1</v>
      </c>
      <c r="U11" s="903" t="b">
        <f t="shared" si="3"/>
        <v>1</v>
      </c>
    </row>
    <row r="12" spans="1:21" x14ac:dyDescent="0.3">
      <c r="A12" s="941" t="s">
        <v>1083</v>
      </c>
      <c r="B12" s="944">
        <v>52832</v>
      </c>
      <c r="C12" s="541"/>
      <c r="D12" s="55"/>
      <c r="E12" s="56"/>
      <c r="M12" s="905" t="s">
        <v>1083</v>
      </c>
      <c r="N12" s="909">
        <v>52832</v>
      </c>
      <c r="O12" s="903" t="b">
        <f t="shared" si="0"/>
        <v>1</v>
      </c>
      <c r="P12" s="903" t="b">
        <f t="shared" si="1"/>
        <v>1</v>
      </c>
      <c r="R12" s="903" t="s">
        <v>1083</v>
      </c>
      <c r="S12" s="903">
        <v>52832</v>
      </c>
      <c r="T12" s="903" t="b">
        <f t="shared" si="2"/>
        <v>1</v>
      </c>
      <c r="U12" s="903" t="b">
        <f t="shared" si="3"/>
        <v>1</v>
      </c>
    </row>
    <row r="13" spans="1:21" x14ac:dyDescent="0.3">
      <c r="A13" s="941" t="s">
        <v>1084</v>
      </c>
      <c r="B13" s="944">
        <v>52833</v>
      </c>
      <c r="C13" s="541"/>
      <c r="D13" s="55"/>
      <c r="E13" s="56"/>
      <c r="M13" s="905" t="s">
        <v>1084</v>
      </c>
      <c r="N13" s="909">
        <v>52833</v>
      </c>
      <c r="O13" s="903" t="b">
        <f t="shared" si="0"/>
        <v>1</v>
      </c>
      <c r="P13" s="903" t="b">
        <f t="shared" si="1"/>
        <v>1</v>
      </c>
      <c r="R13" s="903" t="s">
        <v>1084</v>
      </c>
      <c r="S13" s="903">
        <v>52833</v>
      </c>
      <c r="T13" s="903" t="b">
        <f t="shared" si="2"/>
        <v>1</v>
      </c>
      <c r="U13" s="903" t="b">
        <f t="shared" si="3"/>
        <v>1</v>
      </c>
    </row>
    <row r="14" spans="1:21" ht="28.8" x14ac:dyDescent="0.3">
      <c r="A14" s="941" t="s">
        <v>1085</v>
      </c>
      <c r="B14" s="944">
        <v>52834</v>
      </c>
      <c r="C14" s="541"/>
      <c r="D14" s="55"/>
      <c r="E14" s="56"/>
      <c r="M14" s="905" t="s">
        <v>1085</v>
      </c>
      <c r="N14" s="909">
        <v>52834</v>
      </c>
      <c r="O14" s="903" t="b">
        <f t="shared" si="0"/>
        <v>1</v>
      </c>
      <c r="P14" s="903" t="b">
        <f t="shared" si="1"/>
        <v>1</v>
      </c>
      <c r="R14" s="903" t="s">
        <v>1085</v>
      </c>
      <c r="S14" s="903">
        <v>52834</v>
      </c>
      <c r="T14" s="903" t="b">
        <f t="shared" si="2"/>
        <v>1</v>
      </c>
      <c r="U14" s="903" t="b">
        <f t="shared" si="3"/>
        <v>1</v>
      </c>
    </row>
    <row r="15" spans="1:21" x14ac:dyDescent="0.3">
      <c r="A15" s="941" t="s">
        <v>1086</v>
      </c>
      <c r="B15" s="944">
        <v>52835</v>
      </c>
      <c r="C15" s="541"/>
      <c r="D15" s="55"/>
      <c r="E15" s="56"/>
      <c r="M15" s="905" t="s">
        <v>1086</v>
      </c>
      <c r="N15" s="909">
        <v>52835</v>
      </c>
      <c r="O15" s="903" t="b">
        <f t="shared" si="0"/>
        <v>1</v>
      </c>
      <c r="P15" s="903" t="b">
        <f t="shared" si="1"/>
        <v>1</v>
      </c>
      <c r="R15" s="903" t="s">
        <v>1086</v>
      </c>
      <c r="S15" s="903">
        <v>52835</v>
      </c>
      <c r="T15" s="903" t="b">
        <f t="shared" si="2"/>
        <v>1</v>
      </c>
      <c r="U15" s="903" t="b">
        <f t="shared" si="3"/>
        <v>1</v>
      </c>
    </row>
    <row r="16" spans="1:21" ht="28.8" x14ac:dyDescent="0.3">
      <c r="A16" s="941" t="s">
        <v>1087</v>
      </c>
      <c r="B16" s="944">
        <v>524017</v>
      </c>
      <c r="C16" s="541"/>
      <c r="D16" s="55"/>
      <c r="E16" s="56"/>
      <c r="M16" s="905" t="s">
        <v>1087</v>
      </c>
      <c r="N16" s="909">
        <v>524017</v>
      </c>
      <c r="O16" s="903" t="b">
        <f t="shared" si="0"/>
        <v>1</v>
      </c>
      <c r="P16" s="903" t="b">
        <f t="shared" si="1"/>
        <v>1</v>
      </c>
      <c r="R16" s="903" t="s">
        <v>1087</v>
      </c>
      <c r="S16" s="903">
        <v>524017</v>
      </c>
      <c r="T16" s="903" t="b">
        <f t="shared" si="2"/>
        <v>1</v>
      </c>
      <c r="U16" s="903" t="b">
        <f t="shared" si="3"/>
        <v>1</v>
      </c>
    </row>
    <row r="17" spans="1:21" x14ac:dyDescent="0.3">
      <c r="A17" s="941" t="s">
        <v>1088</v>
      </c>
      <c r="B17" s="944">
        <v>52994</v>
      </c>
      <c r="C17" s="541"/>
      <c r="D17" s="55"/>
      <c r="E17" s="56"/>
      <c r="M17" s="905" t="s">
        <v>1088</v>
      </c>
      <c r="N17" s="909">
        <v>52994</v>
      </c>
      <c r="O17" s="903" t="b">
        <f t="shared" si="0"/>
        <v>1</v>
      </c>
      <c r="P17" s="903" t="b">
        <f t="shared" si="1"/>
        <v>1</v>
      </c>
      <c r="R17" s="903" t="s">
        <v>1088</v>
      </c>
      <c r="S17" s="903">
        <v>52994</v>
      </c>
      <c r="T17" s="903" t="b">
        <f t="shared" si="2"/>
        <v>1</v>
      </c>
      <c r="U17" s="903" t="b">
        <f t="shared" si="3"/>
        <v>1</v>
      </c>
    </row>
    <row r="18" spans="1:21" x14ac:dyDescent="0.3">
      <c r="A18" s="941" t="s">
        <v>1089</v>
      </c>
      <c r="B18" s="944">
        <v>52836</v>
      </c>
      <c r="C18" s="541"/>
      <c r="D18" s="55"/>
      <c r="E18" s="56"/>
      <c r="M18" s="905" t="s">
        <v>1089</v>
      </c>
      <c r="N18" s="909">
        <v>52836</v>
      </c>
      <c r="O18" s="903" t="b">
        <f t="shared" si="0"/>
        <v>1</v>
      </c>
      <c r="P18" s="903" t="b">
        <f t="shared" si="1"/>
        <v>1</v>
      </c>
      <c r="R18" s="903" t="s">
        <v>1089</v>
      </c>
      <c r="S18" s="903">
        <v>52836</v>
      </c>
      <c r="T18" s="903" t="b">
        <f t="shared" si="2"/>
        <v>1</v>
      </c>
      <c r="U18" s="903" t="b">
        <f t="shared" si="3"/>
        <v>1</v>
      </c>
    </row>
    <row r="19" spans="1:21" x14ac:dyDescent="0.3">
      <c r="A19" s="941" t="s">
        <v>1090</v>
      </c>
      <c r="B19" s="944">
        <v>52837</v>
      </c>
      <c r="C19" s="541"/>
      <c r="D19" s="55"/>
      <c r="E19" s="56"/>
      <c r="M19" s="905" t="s">
        <v>1090</v>
      </c>
      <c r="N19" s="909">
        <v>52837</v>
      </c>
      <c r="O19" s="903" t="b">
        <f t="shared" si="0"/>
        <v>1</v>
      </c>
      <c r="P19" s="903" t="b">
        <f t="shared" si="1"/>
        <v>1</v>
      </c>
      <c r="R19" s="903" t="s">
        <v>1090</v>
      </c>
      <c r="S19" s="903">
        <v>52837</v>
      </c>
      <c r="T19" s="903" t="b">
        <f t="shared" si="2"/>
        <v>1</v>
      </c>
      <c r="U19" s="903" t="b">
        <f t="shared" si="3"/>
        <v>1</v>
      </c>
    </row>
    <row r="20" spans="1:21" x14ac:dyDescent="0.3">
      <c r="A20" s="941" t="s">
        <v>1091</v>
      </c>
      <c r="B20" s="944">
        <v>52838</v>
      </c>
      <c r="C20" s="541"/>
      <c r="D20" s="55"/>
      <c r="E20" s="56"/>
      <c r="M20" s="905" t="s">
        <v>1091</v>
      </c>
      <c r="N20" s="909">
        <v>52838</v>
      </c>
      <c r="O20" s="903" t="b">
        <f t="shared" si="0"/>
        <v>1</v>
      </c>
      <c r="P20" s="903" t="b">
        <f t="shared" si="1"/>
        <v>1</v>
      </c>
      <c r="R20" s="903" t="s">
        <v>1091</v>
      </c>
      <c r="S20" s="903">
        <v>52838</v>
      </c>
      <c r="T20" s="903" t="b">
        <f t="shared" si="2"/>
        <v>1</v>
      </c>
      <c r="U20" s="903" t="b">
        <f t="shared" si="3"/>
        <v>1</v>
      </c>
    </row>
    <row r="21" spans="1:21" x14ac:dyDescent="0.3">
      <c r="A21" s="941" t="s">
        <v>1092</v>
      </c>
      <c r="B21" s="944">
        <v>52839</v>
      </c>
      <c r="C21" s="541"/>
      <c r="D21" s="55"/>
      <c r="E21" s="56"/>
      <c r="M21" s="905" t="s">
        <v>1092</v>
      </c>
      <c r="N21" s="909">
        <v>52839</v>
      </c>
      <c r="O21" s="903" t="b">
        <f t="shared" si="0"/>
        <v>1</v>
      </c>
      <c r="P21" s="903" t="b">
        <f t="shared" si="1"/>
        <v>1</v>
      </c>
      <c r="R21" s="903" t="s">
        <v>1092</v>
      </c>
      <c r="S21" s="903">
        <v>52839</v>
      </c>
      <c r="T21" s="903" t="b">
        <f t="shared" si="2"/>
        <v>1</v>
      </c>
      <c r="U21" s="903" t="b">
        <f t="shared" si="3"/>
        <v>1</v>
      </c>
    </row>
    <row r="22" spans="1:21" x14ac:dyDescent="0.3">
      <c r="A22" s="941" t="s">
        <v>1093</v>
      </c>
      <c r="B22" s="944">
        <v>52840</v>
      </c>
      <c r="C22" s="541"/>
      <c r="D22" s="55"/>
      <c r="E22" s="56"/>
      <c r="M22" s="905" t="s">
        <v>1093</v>
      </c>
      <c r="N22" s="909">
        <v>52840</v>
      </c>
      <c r="O22" s="903" t="b">
        <f t="shared" si="0"/>
        <v>1</v>
      </c>
      <c r="P22" s="903" t="b">
        <f t="shared" si="1"/>
        <v>1</v>
      </c>
      <c r="R22" s="903" t="s">
        <v>1093</v>
      </c>
      <c r="S22" s="903">
        <v>52840</v>
      </c>
      <c r="T22" s="903" t="b">
        <f t="shared" si="2"/>
        <v>1</v>
      </c>
      <c r="U22" s="903" t="b">
        <f t="shared" si="3"/>
        <v>1</v>
      </c>
    </row>
    <row r="23" spans="1:21" x14ac:dyDescent="0.3">
      <c r="A23" s="941" t="s">
        <v>1094</v>
      </c>
      <c r="B23" s="944">
        <v>52841</v>
      </c>
      <c r="C23" s="541"/>
      <c r="D23" s="55"/>
      <c r="E23" s="56"/>
      <c r="M23" s="905" t="s">
        <v>1094</v>
      </c>
      <c r="N23" s="909">
        <v>52841</v>
      </c>
      <c r="O23" s="903" t="b">
        <f t="shared" si="0"/>
        <v>1</v>
      </c>
      <c r="P23" s="903" t="b">
        <f t="shared" si="1"/>
        <v>1</v>
      </c>
      <c r="R23" s="903" t="s">
        <v>1094</v>
      </c>
      <c r="S23" s="903">
        <v>52841</v>
      </c>
      <c r="T23" s="903" t="b">
        <f t="shared" si="2"/>
        <v>1</v>
      </c>
      <c r="U23" s="903" t="b">
        <f t="shared" si="3"/>
        <v>1</v>
      </c>
    </row>
    <row r="24" spans="1:21" x14ac:dyDescent="0.3">
      <c r="A24" s="941" t="s">
        <v>1095</v>
      </c>
      <c r="B24" s="944">
        <v>52842</v>
      </c>
      <c r="C24" s="541"/>
      <c r="D24" s="55"/>
      <c r="E24" s="56"/>
      <c r="M24" s="905" t="s">
        <v>1095</v>
      </c>
      <c r="N24" s="909">
        <v>52842</v>
      </c>
      <c r="O24" s="903" t="b">
        <f t="shared" si="0"/>
        <v>1</v>
      </c>
      <c r="P24" s="903" t="b">
        <f t="shared" si="1"/>
        <v>1</v>
      </c>
      <c r="R24" s="903" t="s">
        <v>1095</v>
      </c>
      <c r="S24" s="903">
        <v>52842</v>
      </c>
      <c r="T24" s="903" t="b">
        <f t="shared" si="2"/>
        <v>1</v>
      </c>
      <c r="U24" s="903" t="b">
        <f t="shared" si="3"/>
        <v>1</v>
      </c>
    </row>
    <row r="25" spans="1:21" x14ac:dyDescent="0.3">
      <c r="A25" s="941" t="s">
        <v>1096</v>
      </c>
      <c r="B25" s="944">
        <v>52843</v>
      </c>
      <c r="C25" s="541"/>
      <c r="D25" s="55"/>
      <c r="E25" s="56"/>
      <c r="M25" s="905" t="s">
        <v>1096</v>
      </c>
      <c r="N25" s="911">
        <v>52843</v>
      </c>
      <c r="O25" s="903" t="b">
        <f t="shared" si="0"/>
        <v>1</v>
      </c>
      <c r="P25" s="903" t="b">
        <f t="shared" si="1"/>
        <v>1</v>
      </c>
      <c r="R25" s="903" t="s">
        <v>1096</v>
      </c>
      <c r="S25" s="903">
        <v>52843</v>
      </c>
      <c r="T25" s="903" t="b">
        <f t="shared" si="2"/>
        <v>1</v>
      </c>
      <c r="U25" s="903" t="b">
        <f t="shared" si="3"/>
        <v>1</v>
      </c>
    </row>
    <row r="26" spans="1:21" x14ac:dyDescent="0.3">
      <c r="A26" s="941" t="s">
        <v>1097</v>
      </c>
      <c r="B26" s="945">
        <v>52844</v>
      </c>
      <c r="C26" s="541"/>
      <c r="D26" s="55"/>
      <c r="E26" s="56"/>
      <c r="M26" s="905" t="s">
        <v>1097</v>
      </c>
      <c r="N26" s="911">
        <v>52844</v>
      </c>
      <c r="O26" s="903" t="b">
        <f t="shared" si="0"/>
        <v>1</v>
      </c>
      <c r="P26" s="903" t="b">
        <f t="shared" si="1"/>
        <v>1</v>
      </c>
      <c r="R26" s="903" t="s">
        <v>1097</v>
      </c>
      <c r="S26" s="903">
        <v>52844</v>
      </c>
      <c r="T26" s="903" t="b">
        <f t="shared" si="2"/>
        <v>1</v>
      </c>
      <c r="U26" s="903" t="b">
        <f t="shared" si="3"/>
        <v>1</v>
      </c>
    </row>
    <row r="27" spans="1:21" x14ac:dyDescent="0.3">
      <c r="A27" s="941" t="s">
        <v>1098</v>
      </c>
      <c r="B27" s="945">
        <v>52845</v>
      </c>
      <c r="C27" s="541"/>
      <c r="D27" s="55"/>
      <c r="E27" s="56"/>
      <c r="M27" s="905" t="s">
        <v>1098</v>
      </c>
      <c r="N27" s="911">
        <v>52845</v>
      </c>
      <c r="O27" s="903" t="b">
        <f t="shared" si="0"/>
        <v>1</v>
      </c>
      <c r="P27" s="903" t="b">
        <f t="shared" si="1"/>
        <v>1</v>
      </c>
      <c r="R27" s="903" t="s">
        <v>1098</v>
      </c>
      <c r="S27" s="903">
        <v>52845</v>
      </c>
      <c r="T27" s="903" t="b">
        <f t="shared" si="2"/>
        <v>1</v>
      </c>
      <c r="U27" s="903" t="b">
        <f t="shared" si="3"/>
        <v>1</v>
      </c>
    </row>
    <row r="28" spans="1:21" x14ac:dyDescent="0.3">
      <c r="A28" s="941" t="s">
        <v>1099</v>
      </c>
      <c r="B28" s="945">
        <v>52846</v>
      </c>
      <c r="C28" s="541"/>
      <c r="D28" s="55"/>
      <c r="E28" s="56"/>
      <c r="M28" s="905" t="s">
        <v>1099</v>
      </c>
      <c r="N28" s="911">
        <v>52846</v>
      </c>
      <c r="O28" s="903" t="b">
        <f t="shared" si="0"/>
        <v>1</v>
      </c>
      <c r="P28" s="903" t="b">
        <f t="shared" si="1"/>
        <v>1</v>
      </c>
      <c r="R28" s="903" t="s">
        <v>1099</v>
      </c>
      <c r="S28" s="903">
        <v>52846</v>
      </c>
      <c r="T28" s="903" t="b">
        <f t="shared" si="2"/>
        <v>1</v>
      </c>
      <c r="U28" s="903" t="b">
        <f t="shared" si="3"/>
        <v>1</v>
      </c>
    </row>
    <row r="29" spans="1:21" x14ac:dyDescent="0.3">
      <c r="A29" s="941" t="s">
        <v>1100</v>
      </c>
      <c r="B29" s="945">
        <v>52847</v>
      </c>
      <c r="C29" s="541"/>
      <c r="D29" s="55"/>
      <c r="E29" s="56"/>
      <c r="M29" s="905" t="s">
        <v>1100</v>
      </c>
      <c r="N29" s="911">
        <v>52847</v>
      </c>
      <c r="O29" s="903" t="b">
        <f t="shared" si="0"/>
        <v>1</v>
      </c>
      <c r="P29" s="903" t="b">
        <f t="shared" si="1"/>
        <v>1</v>
      </c>
      <c r="R29" s="903" t="s">
        <v>1100</v>
      </c>
      <c r="S29" s="903">
        <v>52847</v>
      </c>
      <c r="T29" s="903" t="b">
        <f t="shared" si="2"/>
        <v>1</v>
      </c>
      <c r="U29" s="903" t="b">
        <f t="shared" si="3"/>
        <v>1</v>
      </c>
    </row>
    <row r="30" spans="1:21" x14ac:dyDescent="0.3">
      <c r="A30" s="941" t="s">
        <v>1101</v>
      </c>
      <c r="B30" s="945">
        <v>52848</v>
      </c>
      <c r="C30" s="541"/>
      <c r="D30" s="55"/>
      <c r="E30" s="56"/>
      <c r="M30" s="905" t="s">
        <v>1101</v>
      </c>
      <c r="N30" s="911">
        <v>52848</v>
      </c>
      <c r="O30" s="903" t="b">
        <f t="shared" si="0"/>
        <v>1</v>
      </c>
      <c r="P30" s="903" t="b">
        <f t="shared" si="1"/>
        <v>1</v>
      </c>
      <c r="R30" s="903" t="s">
        <v>1101</v>
      </c>
      <c r="S30" s="903">
        <v>52848</v>
      </c>
      <c r="T30" s="903" t="b">
        <f t="shared" si="2"/>
        <v>1</v>
      </c>
      <c r="U30" s="903" t="b">
        <f t="shared" si="3"/>
        <v>1</v>
      </c>
    </row>
    <row r="31" spans="1:21" x14ac:dyDescent="0.3">
      <c r="A31" s="941" t="s">
        <v>1102</v>
      </c>
      <c r="B31" s="945">
        <v>52849</v>
      </c>
      <c r="C31" s="541"/>
      <c r="D31" s="55"/>
      <c r="E31" s="56"/>
      <c r="M31" s="905" t="s">
        <v>1102</v>
      </c>
      <c r="N31" s="911">
        <v>52849</v>
      </c>
      <c r="O31" s="903" t="b">
        <f t="shared" si="0"/>
        <v>1</v>
      </c>
      <c r="P31" s="903" t="b">
        <f t="shared" si="1"/>
        <v>1</v>
      </c>
      <c r="R31" s="903" t="s">
        <v>1102</v>
      </c>
      <c r="S31" s="903">
        <v>52849</v>
      </c>
      <c r="T31" s="903" t="b">
        <f t="shared" si="2"/>
        <v>1</v>
      </c>
      <c r="U31" s="903" t="b">
        <f t="shared" si="3"/>
        <v>1</v>
      </c>
    </row>
    <row r="32" spans="1:21" x14ac:dyDescent="0.3">
      <c r="A32" s="941" t="s">
        <v>1103</v>
      </c>
      <c r="B32" s="945">
        <v>52850</v>
      </c>
      <c r="C32" s="541"/>
      <c r="D32" s="55"/>
      <c r="E32" s="56"/>
      <c r="M32" s="905" t="s">
        <v>1103</v>
      </c>
      <c r="N32" s="911">
        <v>52850</v>
      </c>
      <c r="O32" s="903" t="b">
        <f t="shared" si="0"/>
        <v>1</v>
      </c>
      <c r="P32" s="903" t="b">
        <f t="shared" si="1"/>
        <v>1</v>
      </c>
      <c r="R32" s="903" t="s">
        <v>1103</v>
      </c>
      <c r="S32" s="903">
        <v>52850</v>
      </c>
      <c r="T32" s="903" t="b">
        <f t="shared" si="2"/>
        <v>1</v>
      </c>
      <c r="U32" s="903" t="b">
        <f t="shared" si="3"/>
        <v>1</v>
      </c>
    </row>
    <row r="33" spans="1:21" x14ac:dyDescent="0.3">
      <c r="A33" s="941" t="s">
        <v>1104</v>
      </c>
      <c r="B33" s="945">
        <v>52851</v>
      </c>
      <c r="C33" s="541"/>
      <c r="D33" s="55"/>
      <c r="E33" s="56"/>
      <c r="M33" s="905" t="s">
        <v>1104</v>
      </c>
      <c r="N33" s="911">
        <v>52851</v>
      </c>
      <c r="O33" s="903" t="b">
        <f t="shared" si="0"/>
        <v>1</v>
      </c>
      <c r="P33" s="903" t="b">
        <f t="shared" si="1"/>
        <v>1</v>
      </c>
      <c r="R33" s="903" t="s">
        <v>1104</v>
      </c>
      <c r="S33" s="903">
        <v>52851</v>
      </c>
      <c r="T33" s="903" t="b">
        <f t="shared" si="2"/>
        <v>1</v>
      </c>
      <c r="U33" s="903" t="b">
        <f t="shared" si="3"/>
        <v>1</v>
      </c>
    </row>
    <row r="34" spans="1:21" ht="28.8" x14ac:dyDescent="0.3">
      <c r="A34" s="941" t="s">
        <v>1105</v>
      </c>
      <c r="B34" s="945">
        <v>52995</v>
      </c>
      <c r="C34" s="541"/>
      <c r="D34" s="55"/>
      <c r="E34" s="56"/>
      <c r="M34" s="905" t="s">
        <v>1105</v>
      </c>
      <c r="N34" s="911">
        <v>52995</v>
      </c>
      <c r="O34" s="903" t="b">
        <f t="shared" si="0"/>
        <v>1</v>
      </c>
      <c r="P34" s="903" t="b">
        <f t="shared" si="1"/>
        <v>1</v>
      </c>
      <c r="R34" s="903" t="s">
        <v>1105</v>
      </c>
      <c r="S34" s="903">
        <v>52995</v>
      </c>
      <c r="T34" s="903" t="b">
        <f t="shared" si="2"/>
        <v>1</v>
      </c>
      <c r="U34" s="903" t="b">
        <f t="shared" si="3"/>
        <v>1</v>
      </c>
    </row>
    <row r="35" spans="1:21" x14ac:dyDescent="0.3">
      <c r="A35" s="941" t="s">
        <v>1106</v>
      </c>
      <c r="B35" s="945">
        <v>52852</v>
      </c>
      <c r="C35" s="541"/>
      <c r="D35" s="55"/>
      <c r="E35" s="56"/>
      <c r="M35" s="905" t="s">
        <v>1106</v>
      </c>
      <c r="N35" s="911">
        <v>52852</v>
      </c>
      <c r="O35" s="903" t="b">
        <f t="shared" si="0"/>
        <v>1</v>
      </c>
      <c r="P35" s="903" t="b">
        <f t="shared" si="1"/>
        <v>1</v>
      </c>
      <c r="R35" s="903" t="s">
        <v>1106</v>
      </c>
      <c r="S35" s="903">
        <v>52852</v>
      </c>
      <c r="T35" s="903" t="b">
        <f t="shared" si="2"/>
        <v>1</v>
      </c>
      <c r="U35" s="903" t="b">
        <f t="shared" si="3"/>
        <v>1</v>
      </c>
    </row>
    <row r="36" spans="1:21" x14ac:dyDescent="0.3">
      <c r="A36" s="941" t="s">
        <v>1107</v>
      </c>
      <c r="B36" s="945">
        <v>52853</v>
      </c>
      <c r="C36" s="541"/>
      <c r="D36" s="55"/>
      <c r="E36" s="56"/>
      <c r="M36" s="905" t="s">
        <v>1107</v>
      </c>
      <c r="N36" s="911">
        <v>52853</v>
      </c>
      <c r="O36" s="903" t="b">
        <f t="shared" si="0"/>
        <v>1</v>
      </c>
      <c r="P36" s="903" t="b">
        <f t="shared" si="1"/>
        <v>1</v>
      </c>
      <c r="R36" s="903" t="s">
        <v>1107</v>
      </c>
      <c r="S36" s="903">
        <v>52853</v>
      </c>
      <c r="T36" s="903" t="b">
        <f t="shared" si="2"/>
        <v>1</v>
      </c>
      <c r="U36" s="903" t="b">
        <f t="shared" si="3"/>
        <v>1</v>
      </c>
    </row>
    <row r="37" spans="1:21" x14ac:dyDescent="0.3">
      <c r="A37" s="941" t="s">
        <v>1108</v>
      </c>
      <c r="B37" s="945">
        <v>52854</v>
      </c>
      <c r="C37" s="541"/>
      <c r="D37" s="55"/>
      <c r="E37" s="56"/>
      <c r="M37" s="905" t="s">
        <v>1108</v>
      </c>
      <c r="N37" s="911">
        <v>52854</v>
      </c>
      <c r="O37" s="903" t="b">
        <f t="shared" si="0"/>
        <v>1</v>
      </c>
      <c r="P37" s="903" t="b">
        <f t="shared" si="1"/>
        <v>1</v>
      </c>
      <c r="R37" s="903" t="s">
        <v>1108</v>
      </c>
      <c r="S37" s="903">
        <v>52854</v>
      </c>
      <c r="T37" s="903" t="b">
        <f t="shared" si="2"/>
        <v>1</v>
      </c>
      <c r="U37" s="903" t="b">
        <f t="shared" si="3"/>
        <v>1</v>
      </c>
    </row>
    <row r="38" spans="1:21" x14ac:dyDescent="0.3">
      <c r="A38" s="941" t="s">
        <v>1109</v>
      </c>
      <c r="B38" s="945">
        <v>52856</v>
      </c>
      <c r="C38" s="541"/>
      <c r="D38" s="55"/>
      <c r="E38" s="56"/>
      <c r="M38" s="905" t="s">
        <v>1109</v>
      </c>
      <c r="N38" s="911">
        <v>52856</v>
      </c>
      <c r="O38" s="903" t="b">
        <f t="shared" si="0"/>
        <v>1</v>
      </c>
      <c r="P38" s="903" t="b">
        <f t="shared" si="1"/>
        <v>1</v>
      </c>
      <c r="R38" s="903" t="s">
        <v>1109</v>
      </c>
      <c r="S38" s="903">
        <v>52856</v>
      </c>
      <c r="T38" s="903" t="b">
        <f t="shared" si="2"/>
        <v>1</v>
      </c>
      <c r="U38" s="903" t="b">
        <f t="shared" si="3"/>
        <v>1</v>
      </c>
    </row>
    <row r="39" spans="1:21" x14ac:dyDescent="0.3">
      <c r="A39" s="941" t="s">
        <v>1110</v>
      </c>
      <c r="B39" s="945">
        <v>52857</v>
      </c>
      <c r="C39" s="541"/>
      <c r="D39" s="55"/>
      <c r="E39" s="56"/>
      <c r="M39" s="905" t="s">
        <v>1110</v>
      </c>
      <c r="N39" s="911">
        <v>52857</v>
      </c>
      <c r="O39" s="903" t="b">
        <f t="shared" si="0"/>
        <v>1</v>
      </c>
      <c r="P39" s="903" t="b">
        <f t="shared" si="1"/>
        <v>1</v>
      </c>
      <c r="R39" s="903" t="s">
        <v>1110</v>
      </c>
      <c r="S39" s="903">
        <v>52857</v>
      </c>
      <c r="T39" s="903" t="b">
        <f t="shared" si="2"/>
        <v>1</v>
      </c>
      <c r="U39" s="903" t="b">
        <f t="shared" si="3"/>
        <v>1</v>
      </c>
    </row>
    <row r="40" spans="1:21" x14ac:dyDescent="0.3">
      <c r="A40" s="941" t="s">
        <v>1111</v>
      </c>
      <c r="B40" s="945">
        <v>52858</v>
      </c>
      <c r="C40" s="541"/>
      <c r="D40" s="55"/>
      <c r="E40" s="56"/>
      <c r="M40" s="905" t="s">
        <v>1111</v>
      </c>
      <c r="N40" s="911">
        <v>52858</v>
      </c>
      <c r="O40" s="903" t="b">
        <f t="shared" si="0"/>
        <v>1</v>
      </c>
      <c r="P40" s="903" t="b">
        <f t="shared" si="1"/>
        <v>1</v>
      </c>
      <c r="R40" s="903" t="s">
        <v>1111</v>
      </c>
      <c r="S40" s="903">
        <v>52858</v>
      </c>
      <c r="T40" s="903" t="b">
        <f t="shared" si="2"/>
        <v>1</v>
      </c>
      <c r="U40" s="903" t="b">
        <f t="shared" si="3"/>
        <v>1</v>
      </c>
    </row>
    <row r="41" spans="1:21" x14ac:dyDescent="0.3">
      <c r="A41" s="941" t="s">
        <v>1112</v>
      </c>
      <c r="B41" s="945">
        <v>52859</v>
      </c>
      <c r="C41" s="541"/>
      <c r="D41" s="55"/>
      <c r="E41" s="56"/>
      <c r="M41" s="905" t="s">
        <v>1112</v>
      </c>
      <c r="N41" s="911">
        <v>52859</v>
      </c>
      <c r="O41" s="903" t="b">
        <f t="shared" si="0"/>
        <v>1</v>
      </c>
      <c r="P41" s="903" t="b">
        <f t="shared" si="1"/>
        <v>1</v>
      </c>
      <c r="R41" s="903" t="s">
        <v>1112</v>
      </c>
      <c r="S41" s="903">
        <v>52859</v>
      </c>
      <c r="T41" s="903" t="b">
        <f t="shared" si="2"/>
        <v>1</v>
      </c>
      <c r="U41" s="903" t="b">
        <f t="shared" si="3"/>
        <v>1</v>
      </c>
    </row>
    <row r="42" spans="1:21" x14ac:dyDescent="0.3">
      <c r="A42" s="941" t="s">
        <v>1113</v>
      </c>
      <c r="B42" s="945">
        <v>52860</v>
      </c>
      <c r="C42" s="541"/>
      <c r="D42" s="55"/>
      <c r="E42" s="56"/>
      <c r="M42" s="905" t="s">
        <v>1113</v>
      </c>
      <c r="N42" s="911">
        <v>52860</v>
      </c>
      <c r="O42" s="903" t="b">
        <f t="shared" si="0"/>
        <v>1</v>
      </c>
      <c r="P42" s="903" t="b">
        <f t="shared" si="1"/>
        <v>1</v>
      </c>
      <c r="R42" s="903" t="s">
        <v>1113</v>
      </c>
      <c r="S42" s="903">
        <v>52860</v>
      </c>
      <c r="T42" s="903" t="b">
        <f t="shared" si="2"/>
        <v>1</v>
      </c>
      <c r="U42" s="903" t="b">
        <f t="shared" si="3"/>
        <v>1</v>
      </c>
    </row>
    <row r="43" spans="1:21" x14ac:dyDescent="0.3">
      <c r="A43" s="941" t="s">
        <v>1114</v>
      </c>
      <c r="B43" s="945">
        <v>52861</v>
      </c>
      <c r="C43" s="541"/>
      <c r="D43" s="55"/>
      <c r="E43" s="56"/>
      <c r="M43" s="905" t="s">
        <v>1114</v>
      </c>
      <c r="N43" s="911">
        <v>52861</v>
      </c>
      <c r="O43" s="903" t="b">
        <f t="shared" si="0"/>
        <v>1</v>
      </c>
      <c r="P43" s="903" t="b">
        <f t="shared" si="1"/>
        <v>1</v>
      </c>
      <c r="R43" s="903" t="s">
        <v>1114</v>
      </c>
      <c r="S43" s="903">
        <v>52861</v>
      </c>
      <c r="T43" s="903" t="b">
        <f t="shared" si="2"/>
        <v>1</v>
      </c>
      <c r="U43" s="903" t="b">
        <f t="shared" si="3"/>
        <v>1</v>
      </c>
    </row>
    <row r="44" spans="1:21" x14ac:dyDescent="0.3">
      <c r="A44" s="941" t="s">
        <v>1115</v>
      </c>
      <c r="B44" s="945">
        <v>52862</v>
      </c>
      <c r="C44" s="541"/>
      <c r="D44" s="55"/>
      <c r="E44" s="56"/>
      <c r="M44" s="905" t="s">
        <v>1115</v>
      </c>
      <c r="N44" s="911">
        <v>52862</v>
      </c>
      <c r="O44" s="903" t="b">
        <f t="shared" si="0"/>
        <v>1</v>
      </c>
      <c r="P44" s="903" t="b">
        <f t="shared" si="1"/>
        <v>1</v>
      </c>
      <c r="R44" s="903" t="s">
        <v>1115</v>
      </c>
      <c r="S44" s="903">
        <v>52862</v>
      </c>
      <c r="T44" s="903" t="b">
        <f t="shared" si="2"/>
        <v>1</v>
      </c>
      <c r="U44" s="903" t="b">
        <f t="shared" si="3"/>
        <v>1</v>
      </c>
    </row>
    <row r="45" spans="1:21" x14ac:dyDescent="0.3">
      <c r="A45" s="941" t="s">
        <v>1116</v>
      </c>
      <c r="B45" s="945">
        <v>52863</v>
      </c>
      <c r="C45" s="541"/>
      <c r="D45" s="55"/>
      <c r="E45" s="56"/>
      <c r="M45" s="905" t="s">
        <v>1116</v>
      </c>
      <c r="N45" s="911">
        <v>52863</v>
      </c>
      <c r="O45" s="903" t="b">
        <f t="shared" si="0"/>
        <v>1</v>
      </c>
      <c r="P45" s="903" t="b">
        <f t="shared" si="1"/>
        <v>1</v>
      </c>
      <c r="R45" s="903" t="s">
        <v>1116</v>
      </c>
      <c r="S45" s="903">
        <v>52863</v>
      </c>
      <c r="T45" s="903" t="b">
        <f t="shared" si="2"/>
        <v>1</v>
      </c>
      <c r="U45" s="903" t="b">
        <f t="shared" si="3"/>
        <v>1</v>
      </c>
    </row>
    <row r="46" spans="1:21" x14ac:dyDescent="0.3">
      <c r="A46" s="941" t="s">
        <v>1117</v>
      </c>
      <c r="B46" s="945">
        <v>52864</v>
      </c>
      <c r="C46" s="541"/>
      <c r="D46" s="55"/>
      <c r="E46" s="56"/>
      <c r="M46" s="905" t="s">
        <v>1117</v>
      </c>
      <c r="N46" s="911">
        <v>52864</v>
      </c>
      <c r="O46" s="903" t="b">
        <f t="shared" si="0"/>
        <v>1</v>
      </c>
      <c r="P46" s="903" t="b">
        <f t="shared" si="1"/>
        <v>1</v>
      </c>
      <c r="R46" s="903" t="s">
        <v>1117</v>
      </c>
      <c r="S46" s="903">
        <v>52864</v>
      </c>
      <c r="T46" s="903" t="b">
        <f t="shared" si="2"/>
        <v>1</v>
      </c>
      <c r="U46" s="903" t="b">
        <f t="shared" si="3"/>
        <v>1</v>
      </c>
    </row>
    <row r="47" spans="1:21" x14ac:dyDescent="0.3">
      <c r="A47" s="941" t="s">
        <v>1118</v>
      </c>
      <c r="B47" s="945">
        <v>52865</v>
      </c>
      <c r="C47" s="541"/>
      <c r="D47" s="55"/>
      <c r="E47" s="56"/>
      <c r="M47" s="905" t="s">
        <v>1118</v>
      </c>
      <c r="N47" s="911">
        <v>52865</v>
      </c>
      <c r="O47" s="903" t="b">
        <f t="shared" si="0"/>
        <v>1</v>
      </c>
      <c r="P47" s="903" t="b">
        <f t="shared" si="1"/>
        <v>1</v>
      </c>
      <c r="R47" s="903" t="s">
        <v>1118</v>
      </c>
      <c r="S47" s="903">
        <v>52865</v>
      </c>
      <c r="T47" s="903" t="b">
        <f t="shared" si="2"/>
        <v>1</v>
      </c>
      <c r="U47" s="903" t="b">
        <f t="shared" si="3"/>
        <v>1</v>
      </c>
    </row>
    <row r="48" spans="1:21" x14ac:dyDescent="0.3">
      <c r="A48" s="941" t="s">
        <v>1119</v>
      </c>
      <c r="B48" s="945">
        <v>52866</v>
      </c>
      <c r="C48" s="541"/>
      <c r="D48" s="55"/>
      <c r="E48" s="56"/>
      <c r="M48" s="905" t="s">
        <v>1119</v>
      </c>
      <c r="N48" s="911">
        <v>52866</v>
      </c>
      <c r="O48" s="903" t="b">
        <f t="shared" si="0"/>
        <v>1</v>
      </c>
      <c r="P48" s="903" t="b">
        <f t="shared" si="1"/>
        <v>1</v>
      </c>
      <c r="R48" s="903" t="s">
        <v>1119</v>
      </c>
      <c r="S48" s="903">
        <v>52866</v>
      </c>
      <c r="T48" s="903" t="b">
        <f t="shared" si="2"/>
        <v>1</v>
      </c>
      <c r="U48" s="903" t="b">
        <f t="shared" si="3"/>
        <v>1</v>
      </c>
    </row>
    <row r="49" spans="1:21" x14ac:dyDescent="0.3">
      <c r="A49" s="941" t="s">
        <v>1120</v>
      </c>
      <c r="B49" s="945">
        <v>52867</v>
      </c>
      <c r="C49" s="541"/>
      <c r="D49" s="55"/>
      <c r="E49" s="56"/>
      <c r="M49" s="905" t="s">
        <v>1120</v>
      </c>
      <c r="N49" s="911">
        <v>52867</v>
      </c>
      <c r="O49" s="903" t="b">
        <f t="shared" si="0"/>
        <v>1</v>
      </c>
      <c r="P49" s="903" t="b">
        <f t="shared" si="1"/>
        <v>1</v>
      </c>
      <c r="R49" s="903" t="s">
        <v>1120</v>
      </c>
      <c r="S49" s="903">
        <v>52867</v>
      </c>
      <c r="T49" s="903" t="b">
        <f t="shared" si="2"/>
        <v>1</v>
      </c>
      <c r="U49" s="903" t="b">
        <f t="shared" si="3"/>
        <v>1</v>
      </c>
    </row>
    <row r="50" spans="1:21" x14ac:dyDescent="0.3">
      <c r="A50" s="941" t="s">
        <v>1121</v>
      </c>
      <c r="B50" s="945">
        <v>52868</v>
      </c>
      <c r="C50" s="541"/>
      <c r="D50" s="55"/>
      <c r="E50" s="56"/>
      <c r="M50" s="905" t="s">
        <v>1121</v>
      </c>
      <c r="N50" s="911">
        <v>52868</v>
      </c>
      <c r="O50" s="903" t="b">
        <f t="shared" si="0"/>
        <v>1</v>
      </c>
      <c r="P50" s="903" t="b">
        <f t="shared" si="1"/>
        <v>1</v>
      </c>
      <c r="R50" s="903" t="s">
        <v>1121</v>
      </c>
      <c r="S50" s="903">
        <v>52868</v>
      </c>
      <c r="T50" s="903" t="b">
        <f t="shared" si="2"/>
        <v>1</v>
      </c>
      <c r="U50" s="903" t="b">
        <f t="shared" si="3"/>
        <v>1</v>
      </c>
    </row>
    <row r="51" spans="1:21" x14ac:dyDescent="0.3">
      <c r="A51" s="941" t="s">
        <v>1122</v>
      </c>
      <c r="B51" s="945">
        <v>52869</v>
      </c>
      <c r="C51" s="541"/>
      <c r="D51" s="55"/>
      <c r="E51" s="56"/>
      <c r="M51" s="905" t="s">
        <v>1122</v>
      </c>
      <c r="N51" s="911">
        <v>52869</v>
      </c>
      <c r="O51" s="903" t="b">
        <f t="shared" si="0"/>
        <v>1</v>
      </c>
      <c r="P51" s="903" t="b">
        <f t="shared" si="1"/>
        <v>1</v>
      </c>
      <c r="R51" s="903" t="s">
        <v>1122</v>
      </c>
      <c r="S51" s="903">
        <v>52869</v>
      </c>
      <c r="T51" s="903" t="b">
        <f t="shared" si="2"/>
        <v>1</v>
      </c>
      <c r="U51" s="903" t="b">
        <f t="shared" si="3"/>
        <v>1</v>
      </c>
    </row>
    <row r="52" spans="1:21" x14ac:dyDescent="0.3">
      <c r="A52" s="941" t="s">
        <v>1123</v>
      </c>
      <c r="B52" s="945">
        <v>52870</v>
      </c>
      <c r="C52" s="541"/>
      <c r="D52" s="55"/>
      <c r="E52" s="56"/>
      <c r="M52" s="905" t="s">
        <v>1123</v>
      </c>
      <c r="N52" s="911">
        <v>52870</v>
      </c>
      <c r="O52" s="903" t="b">
        <f t="shared" si="0"/>
        <v>1</v>
      </c>
      <c r="P52" s="903" t="b">
        <f t="shared" si="1"/>
        <v>1</v>
      </c>
      <c r="R52" s="903" t="s">
        <v>1123</v>
      </c>
      <c r="S52" s="903">
        <v>52870</v>
      </c>
      <c r="T52" s="903" t="b">
        <f t="shared" si="2"/>
        <v>1</v>
      </c>
      <c r="U52" s="903" t="b">
        <f t="shared" si="3"/>
        <v>1</v>
      </c>
    </row>
    <row r="53" spans="1:21" x14ac:dyDescent="0.3">
      <c r="A53" s="941" t="s">
        <v>1124</v>
      </c>
      <c r="B53" s="945">
        <v>52871</v>
      </c>
      <c r="C53" s="541"/>
      <c r="D53" s="55"/>
      <c r="E53" s="56"/>
      <c r="M53" s="905" t="s">
        <v>1124</v>
      </c>
      <c r="N53" s="911">
        <v>52871</v>
      </c>
      <c r="O53" s="903" t="b">
        <f t="shared" si="0"/>
        <v>1</v>
      </c>
      <c r="P53" s="903" t="b">
        <f t="shared" si="1"/>
        <v>1</v>
      </c>
      <c r="R53" s="903" t="s">
        <v>1124</v>
      </c>
      <c r="S53" s="903">
        <v>52871</v>
      </c>
      <c r="T53" s="903" t="b">
        <f t="shared" si="2"/>
        <v>1</v>
      </c>
      <c r="U53" s="903" t="b">
        <f t="shared" si="3"/>
        <v>1</v>
      </c>
    </row>
    <row r="54" spans="1:21" x14ac:dyDescent="0.3">
      <c r="A54" s="941" t="s">
        <v>1125</v>
      </c>
      <c r="B54" s="945">
        <v>52872</v>
      </c>
      <c r="C54" s="541"/>
      <c r="D54" s="55"/>
      <c r="E54" s="56"/>
      <c r="M54" s="905" t="s">
        <v>1125</v>
      </c>
      <c r="N54" s="911">
        <v>52872</v>
      </c>
      <c r="O54" s="903" t="b">
        <f t="shared" si="0"/>
        <v>1</v>
      </c>
      <c r="P54" s="903" t="b">
        <f t="shared" si="1"/>
        <v>1</v>
      </c>
      <c r="R54" s="903" t="s">
        <v>1125</v>
      </c>
      <c r="S54" s="903">
        <v>52872</v>
      </c>
      <c r="T54" s="903" t="b">
        <f t="shared" si="2"/>
        <v>1</v>
      </c>
      <c r="U54" s="903" t="b">
        <f t="shared" si="3"/>
        <v>1</v>
      </c>
    </row>
    <row r="55" spans="1:21" x14ac:dyDescent="0.3">
      <c r="A55" s="941" t="s">
        <v>1126</v>
      </c>
      <c r="B55" s="945">
        <v>52873</v>
      </c>
      <c r="C55" s="541"/>
      <c r="D55" s="55"/>
      <c r="E55" s="56"/>
      <c r="M55" s="905" t="s">
        <v>1126</v>
      </c>
      <c r="N55" s="911">
        <v>52873</v>
      </c>
      <c r="O55" s="903" t="b">
        <f t="shared" si="0"/>
        <v>1</v>
      </c>
      <c r="P55" s="903" t="b">
        <f t="shared" si="1"/>
        <v>1</v>
      </c>
      <c r="R55" s="903" t="s">
        <v>1126</v>
      </c>
      <c r="S55" s="903">
        <v>52873</v>
      </c>
      <c r="T55" s="903" t="b">
        <f t="shared" si="2"/>
        <v>1</v>
      </c>
      <c r="U55" s="903" t="b">
        <f t="shared" si="3"/>
        <v>1</v>
      </c>
    </row>
    <row r="56" spans="1:21" ht="28.8" x14ac:dyDescent="0.3">
      <c r="A56" s="941" t="s">
        <v>1127</v>
      </c>
      <c r="B56" s="945">
        <v>52996</v>
      </c>
      <c r="C56" s="541"/>
      <c r="D56" s="55"/>
      <c r="E56" s="56"/>
      <c r="M56" s="905" t="s">
        <v>1127</v>
      </c>
      <c r="N56" s="911">
        <v>52996</v>
      </c>
      <c r="O56" s="903" t="b">
        <f t="shared" si="0"/>
        <v>1</v>
      </c>
      <c r="P56" s="903" t="b">
        <f t="shared" si="1"/>
        <v>1</v>
      </c>
      <c r="R56" s="903" t="s">
        <v>1127</v>
      </c>
      <c r="S56" s="903">
        <v>52996</v>
      </c>
      <c r="T56" s="903" t="b">
        <f t="shared" si="2"/>
        <v>1</v>
      </c>
      <c r="U56" s="903" t="b">
        <f t="shared" si="3"/>
        <v>1</v>
      </c>
    </row>
    <row r="57" spans="1:21" x14ac:dyDescent="0.3">
      <c r="A57" s="941" t="s">
        <v>1128</v>
      </c>
      <c r="B57" s="945">
        <v>52874</v>
      </c>
      <c r="C57" s="541"/>
      <c r="D57" s="55"/>
      <c r="E57" s="56"/>
      <c r="M57" s="905" t="s">
        <v>1128</v>
      </c>
      <c r="N57" s="911">
        <v>52874</v>
      </c>
      <c r="O57" s="903" t="b">
        <f t="shared" si="0"/>
        <v>1</v>
      </c>
      <c r="P57" s="903" t="b">
        <f t="shared" si="1"/>
        <v>1</v>
      </c>
      <c r="R57" s="903" t="s">
        <v>1128</v>
      </c>
      <c r="S57" s="903">
        <v>52874</v>
      </c>
      <c r="T57" s="903" t="b">
        <f t="shared" si="2"/>
        <v>1</v>
      </c>
      <c r="U57" s="903" t="b">
        <f t="shared" si="3"/>
        <v>1</v>
      </c>
    </row>
    <row r="58" spans="1:21" x14ac:dyDescent="0.3">
      <c r="A58" s="941" t="s">
        <v>1129</v>
      </c>
      <c r="B58" s="945">
        <v>52875</v>
      </c>
      <c r="C58" s="541"/>
      <c r="D58" s="55"/>
      <c r="E58" s="56"/>
      <c r="M58" s="905" t="s">
        <v>1129</v>
      </c>
      <c r="N58" s="911">
        <v>52875</v>
      </c>
      <c r="O58" s="903" t="b">
        <f t="shared" si="0"/>
        <v>1</v>
      </c>
      <c r="P58" s="903" t="b">
        <f t="shared" si="1"/>
        <v>1</v>
      </c>
      <c r="R58" s="903" t="s">
        <v>1129</v>
      </c>
      <c r="S58" s="903">
        <v>52875</v>
      </c>
      <c r="T58" s="903" t="b">
        <f t="shared" si="2"/>
        <v>1</v>
      </c>
      <c r="U58" s="903" t="b">
        <f t="shared" si="3"/>
        <v>1</v>
      </c>
    </row>
    <row r="59" spans="1:21" x14ac:dyDescent="0.3">
      <c r="A59" s="902"/>
      <c r="B59" s="901"/>
      <c r="C59" s="541"/>
      <c r="D59" s="55"/>
      <c r="E59" s="56"/>
    </row>
    <row r="60" spans="1:21" x14ac:dyDescent="0.3">
      <c r="A60" s="902"/>
      <c r="B60" s="901"/>
      <c r="C60" s="541"/>
      <c r="D60" s="55"/>
      <c r="E60" s="56"/>
    </row>
    <row r="61" spans="1:21" x14ac:dyDescent="0.3">
      <c r="A61" s="902"/>
      <c r="B61" s="901"/>
      <c r="C61" s="541"/>
      <c r="D61" s="55"/>
      <c r="E61" s="56"/>
    </row>
    <row r="62" spans="1:21" x14ac:dyDescent="0.3">
      <c r="A62" s="902"/>
      <c r="B62" s="901"/>
      <c r="C62" s="541"/>
      <c r="D62" s="55"/>
      <c r="E62" s="56"/>
    </row>
    <row r="63" spans="1:21" x14ac:dyDescent="0.3">
      <c r="A63" s="902"/>
      <c r="B63" s="901"/>
      <c r="C63" s="541"/>
      <c r="D63" s="55"/>
      <c r="E63" s="56"/>
    </row>
    <row r="64" spans="1:21" x14ac:dyDescent="0.3">
      <c r="A64" s="902"/>
      <c r="B64" s="901"/>
      <c r="C64" s="541"/>
      <c r="D64" s="55"/>
      <c r="E64" s="56"/>
    </row>
    <row r="65" spans="1:5" x14ac:dyDescent="0.3">
      <c r="A65" s="902"/>
      <c r="B65" s="901"/>
      <c r="C65" s="541"/>
      <c r="D65" s="55"/>
      <c r="E65" s="56"/>
    </row>
    <row r="66" spans="1:5" x14ac:dyDescent="0.3">
      <c r="A66" s="902"/>
      <c r="B66" s="901"/>
      <c r="C66" s="541"/>
      <c r="D66" s="55"/>
      <c r="E66" s="56"/>
    </row>
    <row r="67" spans="1:5" x14ac:dyDescent="0.3">
      <c r="A67" s="902"/>
      <c r="B67" s="901"/>
      <c r="C67" s="541"/>
      <c r="D67" s="55"/>
      <c r="E67" s="56"/>
    </row>
    <row r="68" spans="1:5" x14ac:dyDescent="0.3">
      <c r="A68" s="902"/>
      <c r="B68" s="901"/>
      <c r="C68" s="541"/>
      <c r="D68" s="55"/>
      <c r="E68" s="56"/>
    </row>
    <row r="69" spans="1:5" x14ac:dyDescent="0.3">
      <c r="A69" s="902"/>
      <c r="B69" s="901"/>
    </row>
    <row r="70" spans="1:5" x14ac:dyDescent="0.3">
      <c r="A70" s="902"/>
      <c r="B70" s="901"/>
    </row>
    <row r="71" spans="1:5" x14ac:dyDescent="0.3">
      <c r="A71" s="902"/>
      <c r="B71" s="901"/>
    </row>
    <row r="72" spans="1:5" x14ac:dyDescent="0.3">
      <c r="A72" s="902"/>
      <c r="B72" s="901"/>
    </row>
    <row r="73" spans="1:5" x14ac:dyDescent="0.3">
      <c r="A73" s="902"/>
      <c r="B73" s="901"/>
    </row>
    <row r="74" spans="1:5" x14ac:dyDescent="0.3">
      <c r="A74" s="902"/>
      <c r="B74" s="901"/>
    </row>
    <row r="75" spans="1:5" x14ac:dyDescent="0.3">
      <c r="A75" s="902"/>
      <c r="B75" s="901"/>
    </row>
    <row r="76" spans="1:5" x14ac:dyDescent="0.3">
      <c r="A76" s="902"/>
      <c r="B76" s="901"/>
    </row>
    <row r="77" spans="1:5" x14ac:dyDescent="0.3">
      <c r="A77" s="902"/>
      <c r="B77" s="901"/>
    </row>
  </sheetData>
  <sheetProtection algorithmName="SHA-512" hashValue="Yg4z8kJCtqlVfq/jV2qrAP0chu4Rob3Rf4YiFJ7AmgbltJRKuCxO2s+ou1USdy4hE7G5onw5gBevBkPNt16Jnw==" saltValue="ODFhzOH5oKEPqvwmCMuTX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Instructions</vt:lpstr>
      <vt:lpstr>Unit Data from Audit Worksheet</vt:lpstr>
      <vt:lpstr>TD Info Completed by Auditor</vt:lpstr>
      <vt:lpstr>Import</vt:lpstr>
      <vt:lpstr>Performance  Indicators Print</vt:lpstr>
      <vt:lpstr>RSS</vt:lpstr>
      <vt:lpstr>2020 Data(H)</vt:lpstr>
      <vt:lpstr>Unit Names(H)</vt:lpstr>
      <vt:lpstr>errorCount</vt:lpstr>
      <vt:lpstr>'2020 Data(H)'!Print_Area</vt:lpstr>
      <vt:lpstr>Instructions!Print_Area</vt:lpstr>
      <vt:lpstr>'Performance  Indicators Print'!Print_Area</vt:lpstr>
      <vt:lpstr>'Unit Data from Audit Worksheet'!Print_Area</vt:lpstr>
      <vt:lpstr>Print_Selection_Auditor</vt:lpstr>
      <vt:lpstr>'Performance  Indicators Print'!Print_Titles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2021-08-02T19:28:00Z</cp:lastPrinted>
  <dcterms:created xsi:type="dcterms:W3CDTF">2011-03-11T21:05:05Z</dcterms:created>
  <dcterms:modified xsi:type="dcterms:W3CDTF">2022-09-16T17:27:30Z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